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omments1.xml" ContentType="application/vnd.openxmlformats-officedocument.spreadsheetml.comments+xml"/>
  <Override PartName="/xl/charts/chart6.xml" ContentType="application/vnd.openxmlformats-officedocument.drawingml.chart+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5.xml" ContentType="application/vnd.openxmlformats-officedocument.drawing+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tables/table46.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295" windowHeight="8265" firstSheet="1" activeTab="4"/>
  </bookViews>
  <sheets>
    <sheet name="Professional Service Estimates" sheetId="1" r:id="rId1"/>
    <sheet name="Apptix" sheetId="12" r:id="rId2"/>
    <sheet name="FPWeb" sheetId="4" r:id="rId3"/>
    <sheet name="Rackspace" sheetId="11" state="hidden" r:id="rId4"/>
    <sheet name="Internal Salaries" sheetId="2" r:id="rId5"/>
    <sheet name="Hardware Costs" sheetId="7" r:id="rId6"/>
    <sheet name="MS Licensing" sheetId="8" r:id="rId7"/>
    <sheet name="Office365" sheetId="9" r:id="rId8"/>
    <sheet name="Common Issues" sheetId="3" r:id="rId9"/>
    <sheet name="Graphs" sheetId="5" r:id="rId10"/>
    <sheet name="Consideration Priorities" sheetId="6" r:id="rId11"/>
    <sheet name="Notes" sheetId="10" r:id="rId12"/>
  </sheets>
  <calcPr calcId="145621"/>
</workbook>
</file>

<file path=xl/calcChain.xml><?xml version="1.0" encoding="utf-8"?>
<calcChain xmlns="http://schemas.openxmlformats.org/spreadsheetml/2006/main">
  <c r="AI10" i="5" l="1"/>
  <c r="AI7" i="5"/>
  <c r="AI6" i="5"/>
  <c r="AJ6" i="5"/>
  <c r="AA6" i="5" s="1"/>
  <c r="AH7" i="5"/>
  <c r="AH8" i="5"/>
  <c r="AJ8" i="5" s="1"/>
  <c r="AH9" i="5"/>
  <c r="AJ9" i="5" s="1"/>
  <c r="AH10" i="5"/>
  <c r="AJ10" i="5" s="1"/>
  <c r="X10" i="5" l="1"/>
  <c r="AA10" i="5"/>
  <c r="AG10" i="5"/>
  <c r="AD10" i="5"/>
  <c r="X9" i="5"/>
  <c r="AD9" i="5"/>
  <c r="AA9" i="5"/>
  <c r="AG9" i="5"/>
  <c r="AI9" i="5"/>
  <c r="AD8" i="5"/>
  <c r="AA8" i="5"/>
  <c r="X8" i="5"/>
  <c r="AG8" i="5"/>
  <c r="AI8" i="5"/>
  <c r="X6" i="5"/>
  <c r="AG6" i="5"/>
  <c r="AD6" i="5"/>
  <c r="AJ7" i="5"/>
  <c r="X7" i="5" l="1"/>
  <c r="AA7" i="5"/>
  <c r="AD7" i="5"/>
  <c r="AG7" i="5"/>
  <c r="Q315" i="5"/>
  <c r="M315" i="5"/>
  <c r="G315" i="5"/>
  <c r="H388" i="5" s="1"/>
  <c r="C315" i="5"/>
  <c r="D389" i="5" s="1"/>
  <c r="Q314" i="5"/>
  <c r="M314" i="5"/>
  <c r="G314" i="5"/>
  <c r="C314" i="5"/>
  <c r="Q313" i="5"/>
  <c r="M313" i="5"/>
  <c r="G313" i="5"/>
  <c r="C313" i="5"/>
  <c r="Q312" i="5"/>
  <c r="M312" i="5"/>
  <c r="G312" i="5"/>
  <c r="C312" i="5"/>
  <c r="Q311" i="5"/>
  <c r="M311" i="5"/>
  <c r="G311" i="5"/>
  <c r="C311" i="5"/>
  <c r="Q307" i="5"/>
  <c r="M307" i="5"/>
  <c r="G307" i="5"/>
  <c r="H386" i="5" s="1"/>
  <c r="C307" i="5"/>
  <c r="D386" i="5" s="1"/>
  <c r="Q306" i="5"/>
  <c r="M306" i="5"/>
  <c r="G306" i="5"/>
  <c r="C306" i="5"/>
  <c r="Q305" i="5"/>
  <c r="M305" i="5"/>
  <c r="G305" i="5"/>
  <c r="C305" i="5"/>
  <c r="Q304" i="5"/>
  <c r="M304" i="5"/>
  <c r="G304" i="5"/>
  <c r="C304" i="5"/>
  <c r="Q303" i="5"/>
  <c r="M303" i="5"/>
  <c r="G303" i="5"/>
  <c r="C303" i="5"/>
  <c r="G299" i="5"/>
  <c r="C299" i="5"/>
  <c r="G298" i="5"/>
  <c r="C298" i="5"/>
  <c r="G297" i="5"/>
  <c r="C297" i="5"/>
  <c r="G296" i="5"/>
  <c r="C296" i="5"/>
  <c r="G295" i="5"/>
  <c r="C295" i="5"/>
  <c r="D13" i="8"/>
  <c r="C13" i="8"/>
  <c r="H390" i="5" l="1"/>
  <c r="D390" i="5"/>
  <c r="H387" i="5"/>
  <c r="D388" i="5"/>
  <c r="H389" i="5"/>
  <c r="D387" i="5"/>
  <c r="D28" i="2"/>
  <c r="D27" i="2"/>
  <c r="D26" i="2"/>
  <c r="D25" i="2"/>
  <c r="D24" i="2"/>
  <c r="M220" i="5"/>
  <c r="M221" i="5"/>
  <c r="M222" i="5"/>
  <c r="M223" i="5"/>
  <c r="M219" i="5"/>
  <c r="Q220" i="5"/>
  <c r="Q221" i="5"/>
  <c r="Q222" i="5"/>
  <c r="Q223" i="5"/>
  <c r="Q219" i="5"/>
  <c r="Q212" i="5"/>
  <c r="Q213" i="5"/>
  <c r="Q214" i="5"/>
  <c r="Q215" i="5"/>
  <c r="Q211" i="5"/>
  <c r="M212" i="5"/>
  <c r="M213" i="5"/>
  <c r="M214" i="5"/>
  <c r="M215" i="5"/>
  <c r="M211" i="5"/>
  <c r="M119" i="5"/>
  <c r="G220" i="5"/>
  <c r="G221" i="5"/>
  <c r="G222" i="5"/>
  <c r="G223" i="5"/>
  <c r="G219" i="5"/>
  <c r="G212" i="5"/>
  <c r="G213" i="5"/>
  <c r="G214" i="5"/>
  <c r="G215" i="5"/>
  <c r="G211" i="5"/>
  <c r="G204" i="5"/>
  <c r="G205" i="5"/>
  <c r="G206" i="5"/>
  <c r="G207" i="5"/>
  <c r="G203" i="5"/>
  <c r="C220" i="5"/>
  <c r="C221" i="5"/>
  <c r="C222" i="5"/>
  <c r="C223" i="5"/>
  <c r="C219" i="5"/>
  <c r="C212" i="5"/>
  <c r="C213" i="5"/>
  <c r="C214" i="5"/>
  <c r="C215" i="5"/>
  <c r="C211" i="5"/>
  <c r="C204" i="5"/>
  <c r="C205" i="5"/>
  <c r="C206" i="5"/>
  <c r="C207" i="5"/>
  <c r="C203" i="5"/>
  <c r="D16" i="9" l="1"/>
  <c r="D15" i="9"/>
  <c r="D14" i="9"/>
  <c r="D13" i="9"/>
  <c r="D12" i="9"/>
  <c r="D11" i="9"/>
  <c r="D10" i="9"/>
  <c r="D9" i="9"/>
  <c r="D8" i="9"/>
  <c r="D7" i="9"/>
  <c r="D6" i="9"/>
  <c r="D5" i="9"/>
  <c r="D4" i="9"/>
  <c r="D3" i="9"/>
  <c r="M128" i="5" l="1"/>
  <c r="M129" i="5"/>
  <c r="M130" i="5"/>
  <c r="M131" i="5"/>
  <c r="M127" i="5"/>
  <c r="Q128" i="5"/>
  <c r="Q129" i="5"/>
  <c r="Q130" i="5"/>
  <c r="Q131" i="5"/>
  <c r="Q127" i="5"/>
  <c r="Q120" i="5"/>
  <c r="Q121" i="5"/>
  <c r="Q122" i="5"/>
  <c r="Q123" i="5"/>
  <c r="Q119" i="5"/>
  <c r="M120" i="5"/>
  <c r="M121" i="5"/>
  <c r="M122" i="5"/>
  <c r="M123" i="5"/>
  <c r="B13" i="8"/>
  <c r="G130" i="5"/>
  <c r="G129" i="5"/>
  <c r="G128" i="5"/>
  <c r="G127" i="5"/>
  <c r="G131" i="5"/>
  <c r="C131" i="5"/>
  <c r="C129" i="5"/>
  <c r="C130" i="5"/>
  <c r="C128" i="5"/>
  <c r="C127" i="5"/>
  <c r="C122" i="5"/>
  <c r="C121" i="5"/>
  <c r="C120" i="5"/>
  <c r="C119" i="5"/>
  <c r="C123" i="5"/>
  <c r="G123" i="5"/>
  <c r="G122" i="5"/>
  <c r="G121" i="5"/>
  <c r="G120" i="5"/>
  <c r="G119" i="5"/>
  <c r="G115" i="5"/>
  <c r="G114" i="5"/>
  <c r="G113" i="5"/>
  <c r="G112" i="5"/>
  <c r="G111" i="5"/>
  <c r="C115" i="5"/>
  <c r="C114" i="5"/>
  <c r="C113" i="5"/>
  <c r="C112" i="5"/>
  <c r="C111" i="5"/>
  <c r="E33" i="7" l="1"/>
  <c r="D14" i="5" s="1"/>
  <c r="B34" i="7"/>
  <c r="B25" i="7"/>
  <c r="E24" i="7" s="1"/>
  <c r="D16" i="5" l="1"/>
  <c r="D18" i="5"/>
  <c r="D17" i="5"/>
  <c r="D15" i="5"/>
  <c r="B18" i="5"/>
  <c r="B17" i="5"/>
  <c r="B16" i="5"/>
  <c r="B15" i="5"/>
  <c r="B14" i="5"/>
  <c r="K91" i="1" l="1"/>
  <c r="K73" i="1"/>
  <c r="K56" i="1"/>
  <c r="K38" i="1"/>
  <c r="H54" i="1"/>
  <c r="K55" i="1" s="1"/>
  <c r="I37" i="2" s="1"/>
  <c r="E37" i="2" s="1"/>
  <c r="H55" i="1"/>
  <c r="H56" i="1"/>
  <c r="H57" i="1"/>
  <c r="H58" i="1"/>
  <c r="H59" i="1"/>
  <c r="H60" i="1"/>
  <c r="H61" i="1"/>
  <c r="H62" i="1"/>
  <c r="H63" i="1"/>
  <c r="H64" i="1"/>
  <c r="H65" i="1"/>
  <c r="H71" i="1"/>
  <c r="H72" i="1"/>
  <c r="H73" i="1"/>
  <c r="H74" i="1"/>
  <c r="H75" i="1"/>
  <c r="H76" i="1"/>
  <c r="K72" i="1" s="1"/>
  <c r="I38" i="2" s="1"/>
  <c r="E38" i="2" s="1"/>
  <c r="H77" i="1"/>
  <c r="H78" i="1"/>
  <c r="H79" i="1"/>
  <c r="H80" i="1"/>
  <c r="H81" i="1"/>
  <c r="H82" i="1"/>
  <c r="H83" i="1"/>
  <c r="H89" i="1"/>
  <c r="K90" i="1" s="1"/>
  <c r="I39" i="2" s="1"/>
  <c r="E39" i="2" s="1"/>
  <c r="H90" i="1"/>
  <c r="H91" i="1"/>
  <c r="H92" i="1"/>
  <c r="H93" i="1"/>
  <c r="H94" i="1"/>
  <c r="H95" i="1"/>
  <c r="H96" i="1"/>
  <c r="H97" i="1"/>
  <c r="H98" i="1"/>
  <c r="H99" i="1"/>
  <c r="H100" i="1"/>
  <c r="H36" i="1"/>
  <c r="K37" i="1" s="1"/>
  <c r="I36" i="2" s="1"/>
  <c r="E36" i="2" s="1"/>
  <c r="H37" i="1"/>
  <c r="H38" i="1"/>
  <c r="H39" i="1"/>
  <c r="H40" i="1"/>
  <c r="H41" i="1"/>
  <c r="H42" i="1"/>
  <c r="H43" i="1"/>
  <c r="H44" i="1"/>
  <c r="H45" i="1"/>
  <c r="H46" i="1"/>
  <c r="H47" i="1"/>
  <c r="H48" i="1"/>
  <c r="H18" i="1"/>
  <c r="H19" i="1"/>
  <c r="H20" i="1"/>
  <c r="K19" i="1" s="1"/>
  <c r="I35" i="2" s="1"/>
  <c r="E35" i="2" s="1"/>
  <c r="H21" i="1"/>
  <c r="H22" i="1"/>
  <c r="H23" i="1"/>
  <c r="H24" i="1"/>
  <c r="H25" i="1"/>
  <c r="H26" i="1"/>
  <c r="H27" i="1"/>
  <c r="H28" i="1"/>
  <c r="H29" i="1"/>
  <c r="H30" i="1"/>
  <c r="K20" i="1"/>
  <c r="K6" i="5"/>
  <c r="K7" i="5"/>
  <c r="K8" i="5"/>
  <c r="K9" i="5"/>
  <c r="K10" i="5"/>
  <c r="J6" i="5"/>
  <c r="J7" i="5"/>
  <c r="J8" i="5"/>
  <c r="J9" i="5"/>
  <c r="J10" i="5"/>
  <c r="D29" i="2"/>
  <c r="D23" i="2"/>
  <c r="D22" i="2"/>
  <c r="D21" i="2"/>
  <c r="D20" i="2"/>
  <c r="D19" i="2"/>
  <c r="D18" i="2"/>
  <c r="D17" i="2"/>
  <c r="D16" i="2"/>
  <c r="D15" i="2"/>
  <c r="D14" i="2"/>
  <c r="D13" i="2"/>
  <c r="D12" i="2"/>
  <c r="D11" i="2"/>
  <c r="L7" i="5" l="1"/>
  <c r="I304" i="5" s="1"/>
  <c r="L9" i="5"/>
  <c r="I314" i="5" s="1"/>
  <c r="L8" i="5"/>
  <c r="E313" i="5" s="1"/>
  <c r="L10" i="5"/>
  <c r="I307" i="5" s="1"/>
  <c r="L6" i="5"/>
  <c r="I303" i="5" s="1"/>
  <c r="I298" i="5"/>
  <c r="E298" i="5"/>
  <c r="E297" i="5"/>
  <c r="I297" i="5"/>
  <c r="E215" i="5"/>
  <c r="E307" i="5"/>
  <c r="E223" i="5"/>
  <c r="O215" i="5" s="1"/>
  <c r="E211" i="5"/>
  <c r="I296" i="5"/>
  <c r="E296" i="5"/>
  <c r="I313" i="5"/>
  <c r="I305" i="5"/>
  <c r="S313" i="5" s="1"/>
  <c r="I213" i="5"/>
  <c r="E212" i="5"/>
  <c r="E312" i="5"/>
  <c r="E304" i="5"/>
  <c r="I220" i="5"/>
  <c r="E214" i="5"/>
  <c r="E306" i="5"/>
  <c r="E314" i="5"/>
  <c r="E222" i="5"/>
  <c r="O222" i="5" s="1"/>
  <c r="I299" i="5"/>
  <c r="E299" i="5"/>
  <c r="I295" i="5"/>
  <c r="E295" i="5"/>
  <c r="I204" i="5"/>
  <c r="E204" i="5"/>
  <c r="I205" i="5"/>
  <c r="E205" i="5"/>
  <c r="E207" i="5"/>
  <c r="I207" i="5"/>
  <c r="I203" i="5"/>
  <c r="E203" i="5"/>
  <c r="E206" i="5"/>
  <c r="I206" i="5"/>
  <c r="E123" i="5"/>
  <c r="AC10" i="5"/>
  <c r="I119" i="5"/>
  <c r="AF6" i="5"/>
  <c r="E113" i="5"/>
  <c r="I113" i="5"/>
  <c r="E122" i="5"/>
  <c r="AC9" i="5"/>
  <c r="Z9" i="5"/>
  <c r="E112" i="5"/>
  <c r="I112" i="5"/>
  <c r="W8" i="5"/>
  <c r="E115" i="5"/>
  <c r="I115" i="5"/>
  <c r="I111" i="5"/>
  <c r="E111" i="5"/>
  <c r="I120" i="5"/>
  <c r="Z7" i="5"/>
  <c r="W7" i="5"/>
  <c r="I114" i="5"/>
  <c r="E114" i="5"/>
  <c r="I127" i="5"/>
  <c r="I130" i="5"/>
  <c r="I129" i="5"/>
  <c r="D30" i="2"/>
  <c r="C38" i="2" s="1"/>
  <c r="F38" i="2" s="1"/>
  <c r="F9" i="5" s="1"/>
  <c r="K131" i="1"/>
  <c r="K130" i="1"/>
  <c r="K129" i="1"/>
  <c r="K123" i="1"/>
  <c r="K122" i="1"/>
  <c r="K121" i="1"/>
  <c r="K114" i="1"/>
  <c r="K113" i="1"/>
  <c r="K112" i="1"/>
  <c r="K106" i="1"/>
  <c r="K105" i="1"/>
  <c r="K104" i="1"/>
  <c r="K89" i="1"/>
  <c r="K88" i="1"/>
  <c r="K71" i="1"/>
  <c r="K70" i="1"/>
  <c r="K54" i="1"/>
  <c r="K53" i="1"/>
  <c r="K36" i="1"/>
  <c r="K35" i="1"/>
  <c r="K18" i="1"/>
  <c r="K17" i="1"/>
  <c r="C30" i="2"/>
  <c r="B30" i="2"/>
  <c r="E115" i="1"/>
  <c r="F115" i="1"/>
  <c r="E100" i="1"/>
  <c r="F76" i="1"/>
  <c r="F75" i="1"/>
  <c r="E76" i="1"/>
  <c r="E75" i="1"/>
  <c r="F132" i="1"/>
  <c r="E132" i="1"/>
  <c r="F131" i="1"/>
  <c r="E131" i="1"/>
  <c r="F130" i="1"/>
  <c r="E130" i="1"/>
  <c r="F125" i="1"/>
  <c r="E125" i="1"/>
  <c r="K124" i="1" s="1"/>
  <c r="F124" i="1"/>
  <c r="E124" i="1"/>
  <c r="F123" i="1"/>
  <c r="E123" i="1"/>
  <c r="F122" i="1"/>
  <c r="K133" i="1" s="1"/>
  <c r="E122" i="1"/>
  <c r="K132" i="1" s="1"/>
  <c r="F118" i="1"/>
  <c r="E118" i="1"/>
  <c r="F117" i="1"/>
  <c r="E117" i="1"/>
  <c r="F116" i="1"/>
  <c r="E116" i="1"/>
  <c r="F114" i="1"/>
  <c r="E114" i="1"/>
  <c r="F113" i="1"/>
  <c r="K116" i="1" s="1"/>
  <c r="E113" i="1"/>
  <c r="K115" i="1" s="1"/>
  <c r="F108" i="1"/>
  <c r="K108" i="1" s="1"/>
  <c r="E108" i="1"/>
  <c r="F107" i="1"/>
  <c r="E107" i="1"/>
  <c r="F106" i="1"/>
  <c r="E106" i="1"/>
  <c r="F105" i="1"/>
  <c r="E105" i="1"/>
  <c r="K107" i="1" s="1"/>
  <c r="F100" i="1"/>
  <c r="F99" i="1"/>
  <c r="E99" i="1"/>
  <c r="F98" i="1"/>
  <c r="E98" i="1"/>
  <c r="F97" i="1"/>
  <c r="E97" i="1"/>
  <c r="F96" i="1"/>
  <c r="E96" i="1"/>
  <c r="F95" i="1"/>
  <c r="E95" i="1"/>
  <c r="F94" i="1"/>
  <c r="E94" i="1"/>
  <c r="F93" i="1"/>
  <c r="E93" i="1"/>
  <c r="F92" i="1"/>
  <c r="E92" i="1"/>
  <c r="F91" i="1"/>
  <c r="E91" i="1"/>
  <c r="F90" i="1"/>
  <c r="E90" i="1"/>
  <c r="F89" i="1"/>
  <c r="E89" i="1"/>
  <c r="F83" i="1"/>
  <c r="E83" i="1"/>
  <c r="F82" i="1"/>
  <c r="E82" i="1"/>
  <c r="F81" i="1"/>
  <c r="E81" i="1"/>
  <c r="F80" i="1"/>
  <c r="E80" i="1"/>
  <c r="F79" i="1"/>
  <c r="E79" i="1"/>
  <c r="F78" i="1"/>
  <c r="E78" i="1"/>
  <c r="F77" i="1"/>
  <c r="E77" i="1"/>
  <c r="F74" i="1"/>
  <c r="E74" i="1"/>
  <c r="F73" i="1"/>
  <c r="E73" i="1"/>
  <c r="F72" i="1"/>
  <c r="E72" i="1"/>
  <c r="F71" i="1"/>
  <c r="E71" i="1"/>
  <c r="F65" i="1"/>
  <c r="E65" i="1"/>
  <c r="F64" i="1"/>
  <c r="E64" i="1"/>
  <c r="F63" i="1"/>
  <c r="E63" i="1"/>
  <c r="F62" i="1"/>
  <c r="E62" i="1"/>
  <c r="F61" i="1"/>
  <c r="E61" i="1"/>
  <c r="F60" i="1"/>
  <c r="E60" i="1"/>
  <c r="F59" i="1"/>
  <c r="E59" i="1"/>
  <c r="F58" i="1"/>
  <c r="E58" i="1"/>
  <c r="F57" i="1"/>
  <c r="E57" i="1"/>
  <c r="F56" i="1"/>
  <c r="E56" i="1"/>
  <c r="F55" i="1"/>
  <c r="E55" i="1"/>
  <c r="F54" i="1"/>
  <c r="E54" i="1"/>
  <c r="F48" i="1"/>
  <c r="E48" i="1"/>
  <c r="F47" i="1"/>
  <c r="E47" i="1"/>
  <c r="F46" i="1"/>
  <c r="E46" i="1"/>
  <c r="F45" i="1"/>
  <c r="E45" i="1"/>
  <c r="F44" i="1"/>
  <c r="E44" i="1"/>
  <c r="F43" i="1"/>
  <c r="E43" i="1"/>
  <c r="F42" i="1"/>
  <c r="E42" i="1"/>
  <c r="F41" i="1"/>
  <c r="E41" i="1"/>
  <c r="F40" i="1"/>
  <c r="E40" i="1"/>
  <c r="F39" i="1"/>
  <c r="E39" i="1"/>
  <c r="F38" i="1"/>
  <c r="E38" i="1"/>
  <c r="F37" i="1"/>
  <c r="E37" i="1"/>
  <c r="F36" i="1"/>
  <c r="E36" i="1"/>
  <c r="E30" i="1"/>
  <c r="E29" i="1"/>
  <c r="E28" i="1"/>
  <c r="E27" i="1"/>
  <c r="E26" i="1"/>
  <c r="E25" i="1"/>
  <c r="E24" i="1"/>
  <c r="E23" i="1"/>
  <c r="E22" i="1"/>
  <c r="E21" i="1"/>
  <c r="E20" i="1"/>
  <c r="F30" i="1"/>
  <c r="F29" i="1"/>
  <c r="F28" i="1"/>
  <c r="F27" i="1"/>
  <c r="F26" i="1"/>
  <c r="F25" i="1"/>
  <c r="F24" i="1"/>
  <c r="F23" i="1"/>
  <c r="F22" i="1"/>
  <c r="F21" i="1"/>
  <c r="F20" i="1"/>
  <c r="F19" i="1"/>
  <c r="E19" i="1"/>
  <c r="F18" i="1"/>
  <c r="E18" i="1"/>
  <c r="B6" i="5" l="1"/>
  <c r="K21" i="1"/>
  <c r="K39" i="1"/>
  <c r="B7" i="5"/>
  <c r="D7" i="5" s="1"/>
  <c r="K92" i="1"/>
  <c r="B10" i="5"/>
  <c r="K125" i="1"/>
  <c r="AC8" i="5"/>
  <c r="E213" i="5"/>
  <c r="K40" i="1"/>
  <c r="C7" i="5"/>
  <c r="C10" i="5"/>
  <c r="K93" i="1"/>
  <c r="AF8" i="5"/>
  <c r="AF10" i="5"/>
  <c r="I221" i="5"/>
  <c r="E315" i="5"/>
  <c r="K57" i="1"/>
  <c r="B8" i="5"/>
  <c r="D8" i="5" s="1"/>
  <c r="K58" i="1"/>
  <c r="C8" i="5"/>
  <c r="Z8" i="5"/>
  <c r="E221" i="5"/>
  <c r="O213" i="5" s="1"/>
  <c r="I219" i="5"/>
  <c r="E129" i="5"/>
  <c r="I121" i="5"/>
  <c r="E305" i="5"/>
  <c r="I311" i="5"/>
  <c r="C6" i="5"/>
  <c r="K22" i="1"/>
  <c r="B9" i="5"/>
  <c r="D9" i="5" s="1"/>
  <c r="H9" i="5" s="1"/>
  <c r="K74" i="1"/>
  <c r="C9" i="5"/>
  <c r="K75" i="1"/>
  <c r="I131" i="5"/>
  <c r="S131" i="5" s="1"/>
  <c r="E121" i="5"/>
  <c r="Z6" i="5"/>
  <c r="E311" i="5"/>
  <c r="S303" i="5"/>
  <c r="E130" i="5"/>
  <c r="E127" i="5"/>
  <c r="I128" i="5"/>
  <c r="S120" i="5" s="1"/>
  <c r="AF7" i="5"/>
  <c r="E120" i="5"/>
  <c r="AF9" i="5"/>
  <c r="AC6" i="5"/>
  <c r="Z10" i="5"/>
  <c r="I123" i="5"/>
  <c r="I214" i="5"/>
  <c r="I306" i="5"/>
  <c r="S306" i="5" s="1"/>
  <c r="E220" i="5"/>
  <c r="O220" i="5" s="1"/>
  <c r="I312" i="5"/>
  <c r="E219" i="5"/>
  <c r="O219" i="5" s="1"/>
  <c r="E303" i="5"/>
  <c r="O303" i="5" s="1"/>
  <c r="I215" i="5"/>
  <c r="S215" i="5" s="1"/>
  <c r="I315" i="5"/>
  <c r="S307" i="5" s="1"/>
  <c r="E128" i="5"/>
  <c r="E131" i="5"/>
  <c r="O123" i="5" s="1"/>
  <c r="AC7" i="5"/>
  <c r="W9" i="5"/>
  <c r="I122" i="5"/>
  <c r="S122" i="5" s="1"/>
  <c r="W6" i="5"/>
  <c r="E119" i="5"/>
  <c r="O127" i="5" s="1"/>
  <c r="W10" i="5"/>
  <c r="I222" i="5"/>
  <c r="I212" i="5"/>
  <c r="S220" i="5" s="1"/>
  <c r="I211" i="5"/>
  <c r="S211" i="5" s="1"/>
  <c r="I223" i="5"/>
  <c r="S214" i="5"/>
  <c r="S312" i="5"/>
  <c r="O119" i="5"/>
  <c r="O306" i="5"/>
  <c r="O312" i="5"/>
  <c r="O313" i="5"/>
  <c r="O223" i="5"/>
  <c r="S130" i="5"/>
  <c r="O214" i="5"/>
  <c r="O314" i="5"/>
  <c r="O120" i="5"/>
  <c r="O315" i="5"/>
  <c r="F386" i="5"/>
  <c r="S127" i="5"/>
  <c r="S222" i="5"/>
  <c r="S304" i="5"/>
  <c r="O305" i="5"/>
  <c r="S223" i="5"/>
  <c r="J390" i="5"/>
  <c r="J389" i="5"/>
  <c r="J387" i="5"/>
  <c r="J388" i="5"/>
  <c r="O304" i="5"/>
  <c r="S213" i="5"/>
  <c r="S221" i="5"/>
  <c r="F389" i="5"/>
  <c r="F387" i="5"/>
  <c r="F388" i="5"/>
  <c r="F390" i="5"/>
  <c r="O307" i="5"/>
  <c r="S212" i="5"/>
  <c r="S305" i="5"/>
  <c r="S311" i="5"/>
  <c r="J386" i="5"/>
  <c r="S315" i="5"/>
  <c r="C35" i="2"/>
  <c r="F35" i="2" s="1"/>
  <c r="F6" i="5" s="1"/>
  <c r="C39" i="2"/>
  <c r="F39" i="2" s="1"/>
  <c r="F10" i="5" s="1"/>
  <c r="D38" i="2"/>
  <c r="E9" i="5" s="1"/>
  <c r="C37" i="2"/>
  <c r="C36" i="2"/>
  <c r="F36" i="2" s="1"/>
  <c r="F7" i="5" s="1"/>
  <c r="O129" i="5"/>
  <c r="O130" i="5"/>
  <c r="O122" i="5"/>
  <c r="O128" i="5"/>
  <c r="O121" i="5"/>
  <c r="S119" i="5"/>
  <c r="S128" i="5"/>
  <c r="S123" i="5"/>
  <c r="S129" i="5"/>
  <c r="S121" i="5"/>
  <c r="AK9" i="5" l="1"/>
  <c r="H114" i="5"/>
  <c r="D206" i="5"/>
  <c r="D25" i="5"/>
  <c r="S9" i="5" s="1"/>
  <c r="D114" i="5"/>
  <c r="H206" i="5"/>
  <c r="B25" i="5"/>
  <c r="M9" i="5"/>
  <c r="D298" i="5"/>
  <c r="H298" i="5"/>
  <c r="O311" i="5"/>
  <c r="D10" i="5"/>
  <c r="H10" i="5" s="1"/>
  <c r="AK10" i="5" s="1"/>
  <c r="O211" i="5"/>
  <c r="H7" i="5"/>
  <c r="AK7" i="5" s="1"/>
  <c r="S219" i="5"/>
  <c r="O212" i="5"/>
  <c r="AS9" i="5"/>
  <c r="AP9" i="5"/>
  <c r="AM9" i="5"/>
  <c r="O221" i="5"/>
  <c r="D6" i="5"/>
  <c r="H6" i="5" s="1"/>
  <c r="S314" i="5"/>
  <c r="O131" i="5"/>
  <c r="G9" i="5"/>
  <c r="D314" i="5"/>
  <c r="H314" i="5"/>
  <c r="D39" i="2"/>
  <c r="E10" i="5" s="1"/>
  <c r="D35" i="2"/>
  <c r="E6" i="5" s="1"/>
  <c r="H127" i="5" s="1"/>
  <c r="D36" i="2"/>
  <c r="E7" i="5" s="1"/>
  <c r="D130" i="5"/>
  <c r="U9" i="5"/>
  <c r="R9" i="5"/>
  <c r="H222" i="5"/>
  <c r="D222" i="5"/>
  <c r="H130" i="5"/>
  <c r="F37" i="2"/>
  <c r="F8" i="5" s="1"/>
  <c r="H8" i="5" s="1"/>
  <c r="AK8" i="5" s="1"/>
  <c r="D37" i="2"/>
  <c r="E8" i="5" s="1"/>
  <c r="O9" i="5"/>
  <c r="D115" i="5" l="1"/>
  <c r="H299" i="5"/>
  <c r="M10" i="5"/>
  <c r="D26" i="5"/>
  <c r="S10" i="5" s="1"/>
  <c r="B26" i="5"/>
  <c r="P10" i="5" s="1"/>
  <c r="H115" i="5"/>
  <c r="D299" i="5"/>
  <c r="D207" i="5"/>
  <c r="U6" i="5"/>
  <c r="H207" i="5"/>
  <c r="H204" i="5"/>
  <c r="D296" i="5"/>
  <c r="H295" i="5"/>
  <c r="D111" i="5"/>
  <c r="H203" i="5"/>
  <c r="D295" i="5"/>
  <c r="M6" i="5"/>
  <c r="D203" i="5"/>
  <c r="B22" i="5"/>
  <c r="P6" i="5" s="1"/>
  <c r="H111" i="5"/>
  <c r="D22" i="5"/>
  <c r="S6" i="5" s="1"/>
  <c r="AQ10" i="5"/>
  <c r="H296" i="5"/>
  <c r="D127" i="5"/>
  <c r="H128" i="5"/>
  <c r="AS7" i="5"/>
  <c r="AP7" i="5"/>
  <c r="AM7" i="5"/>
  <c r="AM8" i="5"/>
  <c r="AS8" i="5"/>
  <c r="AP8" i="5"/>
  <c r="M7" i="5"/>
  <c r="H112" i="5"/>
  <c r="AP10" i="5"/>
  <c r="AS10" i="5"/>
  <c r="AM10" i="5"/>
  <c r="B23" i="5"/>
  <c r="D112" i="5"/>
  <c r="P9" i="5"/>
  <c r="AQ9" i="5"/>
  <c r="AN9" i="5"/>
  <c r="D23" i="5"/>
  <c r="S7" i="5" s="1"/>
  <c r="D204" i="5"/>
  <c r="C25" i="5"/>
  <c r="AL9" i="5"/>
  <c r="N9" i="5"/>
  <c r="U7" i="5"/>
  <c r="H122" i="5"/>
  <c r="R122" i="5" s="1"/>
  <c r="E25" i="5"/>
  <c r="AE9" i="5" s="1"/>
  <c r="D122" i="5"/>
  <c r="N122" i="5" s="1"/>
  <c r="D214" i="5"/>
  <c r="N214" i="5" s="1"/>
  <c r="H214" i="5"/>
  <c r="R222" i="5" s="1"/>
  <c r="D220" i="5"/>
  <c r="H312" i="5"/>
  <c r="D312" i="5"/>
  <c r="H313" i="5"/>
  <c r="D313" i="5"/>
  <c r="H219" i="5"/>
  <c r="D311" i="5"/>
  <c r="H311" i="5"/>
  <c r="D205" i="5"/>
  <c r="H297" i="5"/>
  <c r="D297" i="5"/>
  <c r="R10" i="5"/>
  <c r="D315" i="5"/>
  <c r="H315" i="5"/>
  <c r="D306" i="5"/>
  <c r="N314" i="5" s="1"/>
  <c r="H306" i="5"/>
  <c r="R314" i="5" s="1"/>
  <c r="D131" i="5"/>
  <c r="H131" i="5"/>
  <c r="D223" i="5"/>
  <c r="U10" i="5"/>
  <c r="H223" i="5"/>
  <c r="G10" i="5"/>
  <c r="AL10" i="5" s="1"/>
  <c r="O10" i="5"/>
  <c r="G7" i="5"/>
  <c r="AL7" i="5" s="1"/>
  <c r="D128" i="5"/>
  <c r="H220" i="5"/>
  <c r="O7" i="5"/>
  <c r="R7" i="5"/>
  <c r="G6" i="5"/>
  <c r="R6" i="5"/>
  <c r="D219" i="5"/>
  <c r="O6" i="5"/>
  <c r="H113" i="5"/>
  <c r="B24" i="5"/>
  <c r="D113" i="5"/>
  <c r="H205" i="5"/>
  <c r="D24" i="5"/>
  <c r="S8" i="5" s="1"/>
  <c r="M8" i="5"/>
  <c r="R8" i="5"/>
  <c r="H221" i="5"/>
  <c r="D221" i="5"/>
  <c r="H129" i="5"/>
  <c r="D129" i="5"/>
  <c r="G8" i="5"/>
  <c r="AL8" i="5" s="1"/>
  <c r="U8" i="5"/>
  <c r="O8" i="5"/>
  <c r="AN10" i="5" l="1"/>
  <c r="R130" i="5"/>
  <c r="P7" i="5"/>
  <c r="AQ7" i="5"/>
  <c r="AN7" i="5"/>
  <c r="P8" i="5"/>
  <c r="AQ8" i="5"/>
  <c r="AN8" i="5"/>
  <c r="R214" i="5"/>
  <c r="N130" i="5"/>
  <c r="Q9" i="5"/>
  <c r="AO9" i="5"/>
  <c r="AR9" i="5"/>
  <c r="Y9" i="5"/>
  <c r="N306" i="5"/>
  <c r="V9" i="5"/>
  <c r="T9" i="5"/>
  <c r="N222" i="5"/>
  <c r="R306" i="5"/>
  <c r="AB9" i="5"/>
  <c r="H211" i="5"/>
  <c r="R211" i="5" s="1"/>
  <c r="D303" i="5"/>
  <c r="N311" i="5" s="1"/>
  <c r="H303" i="5"/>
  <c r="R311" i="5" s="1"/>
  <c r="E388" i="5"/>
  <c r="E390" i="5"/>
  <c r="E387" i="5"/>
  <c r="E389" i="5"/>
  <c r="H215" i="5"/>
  <c r="R223" i="5" s="1"/>
  <c r="H307" i="5"/>
  <c r="D307" i="5"/>
  <c r="H305" i="5"/>
  <c r="R313" i="5" s="1"/>
  <c r="D305" i="5"/>
  <c r="N313" i="5" s="1"/>
  <c r="D120" i="5"/>
  <c r="N120" i="5" s="1"/>
  <c r="D304" i="5"/>
  <c r="H304" i="5"/>
  <c r="R312" i="5" s="1"/>
  <c r="I389" i="5"/>
  <c r="I387" i="5"/>
  <c r="I390" i="5"/>
  <c r="I388" i="5"/>
  <c r="E23" i="5"/>
  <c r="AE7" i="5" s="1"/>
  <c r="H120" i="5"/>
  <c r="R120" i="5" s="1"/>
  <c r="H212" i="5"/>
  <c r="R220" i="5" s="1"/>
  <c r="N7" i="5"/>
  <c r="C23" i="5"/>
  <c r="D212" i="5"/>
  <c r="N212" i="5" s="1"/>
  <c r="C26" i="5"/>
  <c r="D211" i="5"/>
  <c r="N219" i="5" s="1"/>
  <c r="H123" i="5"/>
  <c r="R131" i="5" s="1"/>
  <c r="D215" i="5"/>
  <c r="N223" i="5" s="1"/>
  <c r="D123" i="5"/>
  <c r="N131" i="5" s="1"/>
  <c r="E26" i="5"/>
  <c r="AE10" i="5" s="1"/>
  <c r="N10" i="5"/>
  <c r="N6" i="5"/>
  <c r="E22" i="5"/>
  <c r="AE6" i="5" s="1"/>
  <c r="H119" i="5"/>
  <c r="R119" i="5" s="1"/>
  <c r="C22" i="5"/>
  <c r="D119" i="5"/>
  <c r="N119" i="5" s="1"/>
  <c r="D213" i="5"/>
  <c r="H213" i="5"/>
  <c r="H121" i="5"/>
  <c r="N8" i="5"/>
  <c r="E24" i="5"/>
  <c r="C24" i="5"/>
  <c r="D121" i="5"/>
  <c r="Q6" i="5" l="1"/>
  <c r="Q8" i="5"/>
  <c r="AR8" i="5"/>
  <c r="AO8" i="5"/>
  <c r="AO7" i="5"/>
  <c r="AR7" i="5"/>
  <c r="Q10" i="5"/>
  <c r="AO10" i="5"/>
  <c r="AR10" i="5"/>
  <c r="Q7" i="5"/>
  <c r="AB7" i="5"/>
  <c r="R219" i="5"/>
  <c r="N128" i="5"/>
  <c r="R304" i="5"/>
  <c r="R303" i="5"/>
  <c r="T7" i="5"/>
  <c r="R215" i="5"/>
  <c r="N303" i="5"/>
  <c r="N304" i="5"/>
  <c r="N312" i="5"/>
  <c r="R307" i="5"/>
  <c r="R315" i="5"/>
  <c r="I386" i="5"/>
  <c r="N305" i="5"/>
  <c r="Y7" i="5"/>
  <c r="E386" i="5"/>
  <c r="N315" i="5"/>
  <c r="V7" i="5"/>
  <c r="R305" i="5"/>
  <c r="N307" i="5"/>
  <c r="R128" i="5"/>
  <c r="R212" i="5"/>
  <c r="N220" i="5"/>
  <c r="AB10" i="5"/>
  <c r="N211" i="5"/>
  <c r="T10" i="5"/>
  <c r="V10" i="5"/>
  <c r="Y10" i="5"/>
  <c r="V6" i="5"/>
  <c r="Y6" i="5"/>
  <c r="N123" i="5"/>
  <c r="R123" i="5"/>
  <c r="N215" i="5"/>
  <c r="N127" i="5"/>
  <c r="T6" i="5"/>
  <c r="AB6" i="5"/>
  <c r="R127" i="5"/>
  <c r="N129" i="5"/>
  <c r="N121" i="5"/>
  <c r="R213" i="5"/>
  <c r="R221" i="5"/>
  <c r="AE8" i="5"/>
  <c r="V8" i="5"/>
  <c r="Y8" i="5"/>
  <c r="AB8" i="5"/>
  <c r="T8" i="5"/>
  <c r="N213" i="5"/>
  <c r="N221" i="5"/>
  <c r="R129" i="5"/>
  <c r="R121" i="5"/>
</calcChain>
</file>

<file path=xl/comments1.xml><?xml version="1.0" encoding="utf-8"?>
<comments xmlns="http://schemas.openxmlformats.org/spreadsheetml/2006/main">
  <authors>
    <author>Richard Harbridge</author>
  </authors>
  <commentList>
    <comment ref="E34" authorId="0">
      <text>
        <r>
          <rPr>
            <b/>
            <sz val="9"/>
            <color indexed="81"/>
            <rFont val="Tahoma"/>
            <family val="2"/>
          </rPr>
          <t>Richard Harbridge:</t>
        </r>
        <r>
          <rPr>
            <sz val="9"/>
            <color indexed="81"/>
            <rFont val="Tahoma"/>
            <family val="2"/>
          </rPr>
          <t xml:space="preserve">
Since the responses I got varied from 3-4 times the effort on the part of the client to 1/4 of the time I found the middle ground to be approximately equivalent effort from both sides.</t>
        </r>
      </text>
    </comment>
  </commentList>
</comments>
</file>

<file path=xl/comments2.xml><?xml version="1.0" encoding="utf-8"?>
<comments xmlns="http://schemas.openxmlformats.org/spreadsheetml/2006/main">
  <authors>
    <author>Richard Harbridge</author>
  </authors>
  <commentList>
    <comment ref="A4" authorId="0">
      <text>
        <r>
          <rPr>
            <b/>
            <sz val="9"/>
            <color indexed="81"/>
            <rFont val="Tahoma"/>
            <family val="2"/>
          </rPr>
          <t>Richard Harbridge:</t>
        </r>
        <r>
          <rPr>
            <sz val="9"/>
            <color indexed="81"/>
            <rFont val="Tahoma"/>
            <family val="2"/>
          </rPr>
          <t xml:space="preserve">
I accounted for this partially - I added graphs and data that just account for the SA costs on the CAL licenses.</t>
        </r>
      </text>
    </comment>
  </commentList>
</comments>
</file>

<file path=xl/sharedStrings.xml><?xml version="1.0" encoding="utf-8"?>
<sst xmlns="http://schemas.openxmlformats.org/spreadsheetml/2006/main" count="1059" uniqueCount="367">
  <si>
    <t>On Premise Implementation Research</t>
  </si>
  <si>
    <t>Task</t>
  </si>
  <si>
    <t>Rate</t>
  </si>
  <si>
    <t>Professional Services</t>
  </si>
  <si>
    <t>Low Total</t>
  </si>
  <si>
    <t>High Total</t>
  </si>
  <si>
    <t>Company Reference ID</t>
  </si>
  <si>
    <t>* in hours</t>
  </si>
  <si>
    <t>Low*</t>
  </si>
  <si>
    <t>High*</t>
  </si>
  <si>
    <t>Single Server Install (POC/DEMO/Dev)</t>
  </si>
  <si>
    <t>Some rates are blended.</t>
  </si>
  <si>
    <t>Column1</t>
  </si>
  <si>
    <t>Small Farm - Two Server Install (WFE and SQL)</t>
  </si>
  <si>
    <t>Small Farm w/ High Availability (2 WFE - 2 SQL)</t>
  </si>
  <si>
    <t>Medium Farm (1 WFE, 1 App/Index, 1 SQL)</t>
  </si>
  <si>
    <t>Medium Farm w/ High Availability (2 WFE, 2 A/I, 2 SQL)</t>
  </si>
  <si>
    <t>SSL Configuration</t>
  </si>
  <si>
    <t>PDF iFilter</t>
  </si>
  <si>
    <t>Project Server</t>
  </si>
  <si>
    <t>UAG/TMG</t>
  </si>
  <si>
    <t>"We generally estimate internal (customer hours) to be 3 to 4 times our time estimates."</t>
  </si>
  <si>
    <t>"Typically we find that the customer only needs to spend 1 hour for every 4 we spend."</t>
  </si>
  <si>
    <t>Quote</t>
  </si>
  <si>
    <t>Internal Salaries</t>
  </si>
  <si>
    <t>Role Name</t>
  </si>
  <si>
    <t>SharePoint Administrator</t>
  </si>
  <si>
    <t>Company</t>
  </si>
  <si>
    <t>Low Salary</t>
  </si>
  <si>
    <t>High Salary</t>
  </si>
  <si>
    <t>Average Salary</t>
  </si>
  <si>
    <t>"It depends on the customer need. If they are supporting it after often there is knoweledge transfer, often additional documentation, and sometimes even them executing the tasks with our oversight/guidance. In each of these cases the amount of time varies."</t>
  </si>
  <si>
    <t>Low Average</t>
  </si>
  <si>
    <t>High Average</t>
  </si>
  <si>
    <t>Rate Average</t>
  </si>
  <si>
    <t>Low Total Average</t>
  </si>
  <si>
    <t>High Total Average</t>
  </si>
  <si>
    <t>Issues That Aren't Accounted For In Estimates</t>
  </si>
  <si>
    <t>What if DNS isn't setup correctly?</t>
  </si>
  <si>
    <t>The consulting party does not need to account for patching and updating SharePoint, the OS, or SQL.</t>
  </si>
  <si>
    <t>The consulting party does not have to deal with hardware provisioning.</t>
  </si>
  <si>
    <t>The consulting party does not need to take into account other identity providers beyond a basic AD forest/implementation.</t>
  </si>
  <si>
    <t>Many included in previous estimates. These are just 'pulled out' seperately for context.</t>
  </si>
  <si>
    <t>The client has enterprise licensing for SharePoint.</t>
  </si>
  <si>
    <t>This is only estimates for 2010 implementations.</t>
  </si>
  <si>
    <t>These estimates do not take into account any upgrades, migrations, or information architecture work.</t>
  </si>
  <si>
    <t>The estimates are based on the fact that client already has their identified topology and is comfortable with scaling limitations or concerns.</t>
  </si>
  <si>
    <t>The estimates do account for basic testing. However they do not account for any load testing or things beyond checking logs, and loading up a blank site collection.</t>
  </si>
  <si>
    <t>Many organizations noted that they do a fair amount of 'preparation' before providing estimates. This often involves questions, or filling out pre-defined templates that ensure all 'risks' or concerns have been identified and that  the estimating party understands enough about the client environment to make these estimates.</t>
  </si>
  <si>
    <t>Some consulting parties do outsource or contract specific work that isn't their primary specialization. However these estimates are based on the consulting party doing the work when indicated. (No one estimated what another 'organization' might charge, or how much time they might take.)</t>
  </si>
  <si>
    <t>These estimates are based on the recommended hardware from Microsoft being prepared and provided by the client.</t>
  </si>
  <si>
    <t>Estimate Notes</t>
  </si>
  <si>
    <t>FPWeb Pricing Data</t>
  </si>
  <si>
    <t>Assumptions:</t>
  </si>
  <si>
    <r>
      <t>·</t>
    </r>
    <r>
      <rPr>
        <sz val="7"/>
        <color rgb="FF1F497D"/>
        <rFont val="Times New Roman"/>
        <family val="1"/>
      </rPr>
      <t xml:space="preserve">         </t>
    </r>
    <r>
      <rPr>
        <sz val="11"/>
        <color rgb="FF1F497D"/>
        <rFont val="Calibri"/>
        <family val="2"/>
        <scheme val="minor"/>
      </rPr>
      <t>SharePoint Server 2010, not Foundation</t>
    </r>
  </si>
  <si>
    <r>
      <t>·</t>
    </r>
    <r>
      <rPr>
        <sz val="7"/>
        <color rgb="FF1F497D"/>
        <rFont val="Times New Roman"/>
        <family val="1"/>
      </rPr>
      <t xml:space="preserve">         </t>
    </r>
    <r>
      <rPr>
        <sz val="11"/>
        <color rgb="FF1F497D"/>
        <rFont val="Calibri"/>
        <family val="2"/>
        <scheme val="minor"/>
      </rPr>
      <t>We setup any necessary hardware and software needed</t>
    </r>
  </si>
  <si>
    <r>
      <t>·</t>
    </r>
    <r>
      <rPr>
        <sz val="7"/>
        <color rgb="FF1F497D"/>
        <rFont val="Times New Roman"/>
        <family val="1"/>
      </rPr>
      <t xml:space="preserve">         </t>
    </r>
    <r>
      <rPr>
        <sz val="11"/>
        <color rgb="FF1F497D"/>
        <rFont val="Calibri"/>
        <family val="2"/>
        <scheme val="minor"/>
      </rPr>
      <t>No backups or AD integration is included in this pricing</t>
    </r>
  </si>
  <si>
    <r>
      <t>·</t>
    </r>
    <r>
      <rPr>
        <sz val="7"/>
        <color rgb="FF1F497D"/>
        <rFont val="Times New Roman"/>
        <family val="1"/>
      </rPr>
      <t xml:space="preserve">         </t>
    </r>
    <r>
      <rPr>
        <sz val="11"/>
        <color rgb="FF1F497D"/>
        <rFont val="Calibri"/>
        <family val="2"/>
        <scheme val="minor"/>
      </rPr>
      <t>We would provide the SharePoint, SQL, and Windows licensing, while the customer provides and FIS or CAL licenses</t>
    </r>
  </si>
  <si>
    <r>
      <t>·</t>
    </r>
    <r>
      <rPr>
        <sz val="7"/>
        <color rgb="FF1F497D"/>
        <rFont val="Times New Roman"/>
        <family val="1"/>
      </rPr>
      <t xml:space="preserve">         </t>
    </r>
    <r>
      <rPr>
        <sz val="11"/>
        <color rgb="FF1F497D"/>
        <rFont val="Calibri"/>
        <family val="2"/>
        <scheme val="minor"/>
      </rPr>
      <t>HA environments assume 300GB SAN storage</t>
    </r>
  </si>
  <si>
    <t>For AD integration we charge $175 per month and this includes two hours of setup time.  This is sufficient for most customers but we charge $195 per hour beyond the two hour setup for complicated integrations, etc.</t>
  </si>
  <si>
    <r>
      <t>·</t>
    </r>
    <r>
      <rPr>
        <sz val="7"/>
        <color rgb="FF1F497D"/>
        <rFont val="Times New Roman"/>
        <family val="1"/>
      </rPr>
      <t xml:space="preserve">         </t>
    </r>
    <r>
      <rPr>
        <sz val="11"/>
        <color rgb="FF1F497D"/>
        <rFont val="Calibri"/>
        <family val="2"/>
        <scheme val="minor"/>
      </rPr>
      <t>We do not charge for or limit bandwidth.</t>
    </r>
  </si>
  <si>
    <r>
      <t>·</t>
    </r>
    <r>
      <rPr>
        <sz val="7"/>
        <color rgb="FF1F497D"/>
        <rFont val="Times New Roman"/>
        <family val="1"/>
      </rPr>
      <t xml:space="preserve">         </t>
    </r>
    <r>
      <rPr>
        <sz val="11"/>
        <color rgb="FF1F497D"/>
        <rFont val="Calibri"/>
        <family val="2"/>
        <scheme val="minor"/>
      </rPr>
      <t>Our storage costs are as follows:</t>
    </r>
  </si>
  <si>
    <r>
      <t>o</t>
    </r>
    <r>
      <rPr>
        <sz val="7"/>
        <color rgb="FF1F497D"/>
        <rFont val="Times New Roman"/>
        <family val="1"/>
      </rPr>
      <t xml:space="preserve">   </t>
    </r>
    <r>
      <rPr>
        <sz val="11"/>
        <color rgb="FF1F497D"/>
        <rFont val="Calibri"/>
        <family val="2"/>
        <scheme val="minor"/>
      </rPr>
      <t>100GB-1TB - $.95 per GB</t>
    </r>
  </si>
  <si>
    <r>
      <t>o</t>
    </r>
    <r>
      <rPr>
        <sz val="7"/>
        <color rgb="FF1F497D"/>
        <rFont val="Times New Roman"/>
        <family val="1"/>
      </rPr>
      <t xml:space="preserve">   </t>
    </r>
    <r>
      <rPr>
        <sz val="11"/>
        <color rgb="FF1F497D"/>
        <rFont val="Calibri"/>
        <family val="2"/>
        <scheme val="minor"/>
      </rPr>
      <t>1TB-5TB - $.49 per GB</t>
    </r>
  </si>
  <si>
    <r>
      <t>o</t>
    </r>
    <r>
      <rPr>
        <sz val="7"/>
        <color rgb="FF1F497D"/>
        <rFont val="Times New Roman"/>
        <family val="1"/>
      </rPr>
      <t xml:space="preserve">   </t>
    </r>
    <r>
      <rPr>
        <sz val="11"/>
        <color rgb="FF1F497D"/>
        <rFont val="Calibri"/>
        <family val="2"/>
        <scheme val="minor"/>
      </rPr>
      <t>5+TB - $.39 per GB</t>
    </r>
  </si>
  <si>
    <t>Single Server Install (WFE and SQL on 1 VM)</t>
  </si>
  <si>
    <t>Graphs</t>
  </si>
  <si>
    <t>Firm A</t>
  </si>
  <si>
    <t>Firm B</t>
  </si>
  <si>
    <t>Firm C</t>
  </si>
  <si>
    <t>Firm D</t>
  </si>
  <si>
    <t>Firm E</t>
  </si>
  <si>
    <t>Firm F</t>
  </si>
  <si>
    <t>Firm G</t>
  </si>
  <si>
    <t>Firm H</t>
  </si>
  <si>
    <t>Firm I</t>
  </si>
  <si>
    <t>Firm J</t>
  </si>
  <si>
    <t>Firm K</t>
  </si>
  <si>
    <t>Firm L</t>
  </si>
  <si>
    <t>Firm M</t>
  </si>
  <si>
    <t>FPWeb</t>
  </si>
  <si>
    <t>Low</t>
  </si>
  <si>
    <t>High</t>
  </si>
  <si>
    <t>Average</t>
  </si>
  <si>
    <t>Based on the comments received around estimating internal effort (on going after implementation) to maintain the environment as well as support the initial implementation I have broken down internal effort estimates as follows…</t>
  </si>
  <si>
    <t>Environment</t>
  </si>
  <si>
    <t>Multiple</t>
  </si>
  <si>
    <t>Expected Internal Costs Over 1 Year</t>
  </si>
  <si>
    <t>% Multiple is an approximation based on multiple interviews of how much of a full time SharePoint Admin's effort would be spent supporting that sort of environment.</t>
  </si>
  <si>
    <t>Note that MS recommends more resourcing for SharePoint - But this only accounts for base/hosting comparible services of server maintenance, managing services, and trouble shooting infrastructure and 'above' the web application level in the SharePoint containment hierarchy.</t>
  </si>
  <si>
    <t>Internal</t>
  </si>
  <si>
    <t>PS and Internal</t>
  </si>
  <si>
    <t>Includes patching etc.</t>
  </si>
  <si>
    <t>Yearly</t>
  </si>
  <si>
    <t>Base</t>
  </si>
  <si>
    <t>AD Int</t>
  </si>
  <si>
    <t>Average Salary includes an estimated bonus of 10% of base salary.</t>
  </si>
  <si>
    <t>Initial Month</t>
  </si>
  <si>
    <t>Implementation Cost (Based on Imp Effort)</t>
  </si>
  <si>
    <t>Hour Average</t>
  </si>
  <si>
    <t>PS Implementation Avg Hours</t>
  </si>
  <si>
    <t>Implementation Effort Weeks</t>
  </si>
  <si>
    <t>Implementation</t>
  </si>
  <si>
    <t>PS + Internal</t>
  </si>
  <si>
    <t>Implementation2</t>
  </si>
  <si>
    <t>On Premises</t>
  </si>
  <si>
    <t>Environment/Users</t>
  </si>
  <si>
    <t>Low User Estimate</t>
  </si>
  <si>
    <t>High User Estimate</t>
  </si>
  <si>
    <t># Users (High)</t>
  </si>
  <si>
    <t># Users (Low)</t>
  </si>
  <si>
    <t>Office 365 (SP Online Plan 2)</t>
  </si>
  <si>
    <t>Average Savings Implementation</t>
  </si>
  <si>
    <t>Average Savings Yr 1</t>
  </si>
  <si>
    <t>Average Savings Yr 2</t>
  </si>
  <si>
    <t xml:space="preserve">Office 365 (SP Online Plan 2) </t>
  </si>
  <si>
    <t>Important Cost Risks and Cost Factors</t>
  </si>
  <si>
    <t>Factor</t>
  </si>
  <si>
    <t>Office365</t>
  </si>
  <si>
    <t>On-Premise</t>
  </si>
  <si>
    <t>Storage Planning</t>
  </si>
  <si>
    <t>Bandwidth Planning</t>
  </si>
  <si>
    <t>Migration Planning</t>
  </si>
  <si>
    <t>Critical</t>
  </si>
  <si>
    <t>Consideration Priorities</t>
  </si>
  <si>
    <t>Moderate</t>
  </si>
  <si>
    <t>Description of Factor</t>
  </si>
  <si>
    <t>In order to ensure you adequately estimate costs for moving from one 'environment' to another you should plan 'how you would migrate' from the chosen environment, and what the challenges/additional costs might be.</t>
  </si>
  <si>
    <t>Identity Planning</t>
  </si>
  <si>
    <t>Security Planning</t>
  </si>
  <si>
    <t>Data Sovereignty Planning</t>
  </si>
  <si>
    <t>Privacy Planning</t>
  </si>
  <si>
    <t>Availability Planning</t>
  </si>
  <si>
    <t>SLA Planning</t>
  </si>
  <si>
    <t>Support Planning</t>
  </si>
  <si>
    <t>Termination/Suspension Planning</t>
  </si>
  <si>
    <t>Integration Planning</t>
  </si>
  <si>
    <t>Search Planning</t>
  </si>
  <si>
    <t>This represents the first month of an implementation. It includes installation and configuration costs. The o365 data is based on user counts that start at 50 or 100 users (realistically the practical lower limit) and the maximum reliable limit of users (based on MS recommendations) for SP Servers.</t>
  </si>
  <si>
    <t>1st Year also includes implementation costs.</t>
  </si>
  <si>
    <t>No implementation costs.</t>
  </si>
  <si>
    <t>Hardware Estimates</t>
  </si>
  <si>
    <t>Microsoft Licensing</t>
  </si>
  <si>
    <t>RAM</t>
  </si>
  <si>
    <t>8GB</t>
  </si>
  <si>
    <t>Per Server</t>
  </si>
  <si>
    <t>64 Bit</t>
  </si>
  <si>
    <t>4 Cores</t>
  </si>
  <si>
    <t>OS</t>
  </si>
  <si>
    <t># Cores</t>
  </si>
  <si>
    <t>Requirement</t>
  </si>
  <si>
    <t>Specifics</t>
  </si>
  <si>
    <t>Application of Cost</t>
  </si>
  <si>
    <t>Base Storage</t>
  </si>
  <si>
    <t>80GB</t>
  </si>
  <si>
    <t>WFE/App/Index</t>
  </si>
  <si>
    <t>SQL</t>
  </si>
  <si>
    <t>Log Storage/Alt Storage</t>
  </si>
  <si>
    <t>Cost Estimates</t>
  </si>
  <si>
    <t>1 WFE/App/Index</t>
  </si>
  <si>
    <t>SharePoint Server License</t>
  </si>
  <si>
    <t>Data Gathered February 2012</t>
  </si>
  <si>
    <t>This data assumes Open License</t>
  </si>
  <si>
    <t>Campuses, Enterprise Agreement Customers, Schools, MS Select, and other customer types will get different pricing (typically lower).</t>
  </si>
  <si>
    <t>Open License - Corporate</t>
  </si>
  <si>
    <t>Open License - Local Government</t>
  </si>
  <si>
    <t>SharePoint Std CAL</t>
  </si>
  <si>
    <t>SharePoint Ent CAL</t>
  </si>
  <si>
    <t>Open License - Charity</t>
  </si>
  <si>
    <t>Open License - Academic</t>
  </si>
  <si>
    <t>w/ Both</t>
  </si>
  <si>
    <t>SA</t>
  </si>
  <si>
    <t>License2</t>
  </si>
  <si>
    <t>Item</t>
  </si>
  <si>
    <t>What is the other licensing?</t>
  </si>
  <si>
    <t>No Level (Not C)</t>
  </si>
  <si>
    <t>Windows Server - Std</t>
  </si>
  <si>
    <t>SQL - Std - 1 Proc</t>
  </si>
  <si>
    <t>Hardware</t>
  </si>
  <si>
    <t>Standard</t>
  </si>
  <si>
    <t>Enterprise</t>
  </si>
  <si>
    <t>Licensing Costs (no CALs, Corporate, Open License, No CALs)</t>
  </si>
  <si>
    <t>PS+Internal+Licensing</t>
  </si>
  <si>
    <t>w/ Licensing</t>
  </si>
  <si>
    <t>Year</t>
  </si>
  <si>
    <t>Average Savings Implementation w/ L</t>
  </si>
  <si>
    <t>Average Savings Yr 1 w/ L</t>
  </si>
  <si>
    <t>Average Savings Yr 2 w/ L</t>
  </si>
  <si>
    <t>* Comes with Windows Server 2008 R2 - Standard Edition (Factory Integrated Software).</t>
  </si>
  <si>
    <t>* Does not account for tax or shipping and handling costs.</t>
  </si>
  <si>
    <t>Supplier</t>
  </si>
  <si>
    <t>Price</t>
  </si>
  <si>
    <t>Notes</t>
  </si>
  <si>
    <t>HP Server + Care</t>
  </si>
  <si>
    <t>Dell Server + Care</t>
  </si>
  <si>
    <t>w/ Care</t>
  </si>
  <si>
    <t>Average Hardware Cost SQL</t>
  </si>
  <si>
    <t>Average Hardware Cost WFE/App/Index</t>
  </si>
  <si>
    <t>PS + Internal + Licensing + Hardware</t>
  </si>
  <si>
    <t xml:space="preserve">Implementation  </t>
  </si>
  <si>
    <t xml:space="preserve">Year   </t>
  </si>
  <si>
    <t>w/ Licensing and Hardware</t>
  </si>
  <si>
    <t>Average Savings Implementation w/ H</t>
  </si>
  <si>
    <t>Average Savings Yr 1 w/ H</t>
  </si>
  <si>
    <t>Average Savings Yr 2 w/ H</t>
  </si>
  <si>
    <t>IBM Server + Care</t>
  </si>
  <si>
    <t>Year 1 and 2 Cost Comparison</t>
  </si>
  <si>
    <t>Yr 1-3 Cost Comparison</t>
  </si>
  <si>
    <t>Yr 1-4 Cost Commparison</t>
  </si>
  <si>
    <t>Yr 1-5 Cost Comparison</t>
  </si>
  <si>
    <t>On Prem</t>
  </si>
  <si>
    <t>On Prem y1to3</t>
  </si>
  <si>
    <t>On Prem y1to4</t>
  </si>
  <si>
    <t>On Prem y1to5</t>
  </si>
  <si>
    <t>TOTALS</t>
  </si>
  <si>
    <t>Yr 1-5</t>
  </si>
  <si>
    <t>Yr 1-3</t>
  </si>
  <si>
    <t>Pricing Details</t>
  </si>
  <si>
    <t>SKU</t>
  </si>
  <si>
    <t>Previous Cost (Before Early 2012)</t>
  </si>
  <si>
    <t>New Cost (2012)</t>
  </si>
  <si>
    <t>Reduction</t>
  </si>
  <si>
    <t>Office 365 K2</t>
  </si>
  <si>
    <t>Office 365 E1</t>
  </si>
  <si>
    <t>Office 365 E2</t>
  </si>
  <si>
    <t>Office 365 E3</t>
  </si>
  <si>
    <t>Office 365 E4</t>
  </si>
  <si>
    <t>Exchange Plan 1</t>
  </si>
  <si>
    <t>Exchange Plan 2</t>
  </si>
  <si>
    <t>SharePoint Plan 1</t>
  </si>
  <si>
    <t>SharePoint Plan 2</t>
  </si>
  <si>
    <t>Lync Plan 2</t>
  </si>
  <si>
    <t>Web App Plan 1</t>
  </si>
  <si>
    <t>Web App Plan 2</t>
  </si>
  <si>
    <t>SharePoint Storage (GB)</t>
  </si>
  <si>
    <t>Exchange Adv. Archiving</t>
  </si>
  <si>
    <t>First 50 External (Partner Access License) Free</t>
  </si>
  <si>
    <t>Up to 1000 Available (Not Enforced Limitations On Inviting More Than First 50)</t>
  </si>
  <si>
    <t>MS Can Change Pricing Options For External Users In Major Updates</t>
  </si>
  <si>
    <t>*High user limit is based on MS capacity guidelines for each server as well as numerous interviews with SharePoint professional service firms.</t>
  </si>
  <si>
    <t xml:space="preserve">On Premises </t>
  </si>
  <si>
    <t xml:space="preserve">On Premises  </t>
  </si>
  <si>
    <t>* There is an assumption of enterprise feature usage and office web application usage.</t>
  </si>
  <si>
    <t>Virtualization would reduce these costs, but also infer licensing costs. It would also impact cooling and power costs.</t>
  </si>
  <si>
    <t>Most buy SA. Do calculations for other licensing scenarios.</t>
  </si>
  <si>
    <t>Service Packs - Upgrades.</t>
  </si>
  <si>
    <t>MS feedback:</t>
  </si>
  <si>
    <t>ENTERPRISE CAPABILITY COMPARISON (w/o Software Assurance)</t>
  </si>
  <si>
    <t>STANDARD CAPABILITY COMPARISON (w/o Software Assurance)</t>
  </si>
  <si>
    <t>ENTERPRISE CAPABILITY COMPARISON (w/ Software Assurance)</t>
  </si>
  <si>
    <t>ACTION REQUIRED: Need to update another set of Graphs for Standard with SA</t>
  </si>
  <si>
    <t xml:space="preserve">ACTION REQUIRED: The SA costs for server licenses needs to be accounted for in the SA numbers/graphs. </t>
  </si>
  <si>
    <t>Excellent Feedback from MS: The numbers aren't fluid for internal staff. No additional services. (More Spikey)</t>
  </si>
  <si>
    <t>Note: This is accounted for in my estimates from Internal Staff</t>
  </si>
  <si>
    <t>ACTION REQUIRED: MS wants to see - Yr 1 through 5 costs outlined in a graph - not as a single total, but for a single implementation across the graph.</t>
  </si>
  <si>
    <t>Medium Farm w/ High Availability - 5 Year (Ent Licensing w/ SA)</t>
  </si>
  <si>
    <t>Year 1</t>
  </si>
  <si>
    <t>Year 2</t>
  </si>
  <si>
    <t>Year 3</t>
  </si>
  <si>
    <t>Year 4</t>
  </si>
  <si>
    <t>Year 5</t>
  </si>
  <si>
    <t>Office 365</t>
  </si>
  <si>
    <t>Associated Year</t>
  </si>
  <si>
    <t>Fully Hosted Cloud vs On Premises vs Office365 (Implementation)</t>
  </si>
  <si>
    <t>Fully Hosted Cloud</t>
  </si>
  <si>
    <t xml:space="preserve">Fully Hosted Cloud </t>
  </si>
  <si>
    <t>*Estimates for licensed costs on prem/Fully Hosted Cloud are based on ent CALs without SA. (Open License - Corporate)</t>
  </si>
  <si>
    <t>Fully Hosted Cloud vs On Premises vs Office365 (Year 1)</t>
  </si>
  <si>
    <t xml:space="preserve">Fully Hosted Cloud    </t>
  </si>
  <si>
    <t>Fully Hosted Cloud vs On Premises vs Office365 (Year 2)</t>
  </si>
  <si>
    <t xml:space="preserve">Fully Hosted Cloud   </t>
  </si>
  <si>
    <t xml:space="preserve">Fully Hosted Cloud  </t>
  </si>
  <si>
    <t>Fully Hosted Cloud vs On Premises</t>
  </si>
  <si>
    <t>Fully Hosted Cloud "Savings"</t>
  </si>
  <si>
    <t>Fully Hosted Cloud y1to3</t>
  </si>
  <si>
    <t>Fully Hosted Cloud y1to4</t>
  </si>
  <si>
    <t>Fully Hosted Cloud y1to5</t>
  </si>
  <si>
    <r>
      <t>Department Config</t>
    </r>
    <r>
      <rPr>
        <b/>
        <sz val="10"/>
        <color rgb="FFFF0000"/>
        <rFont val="Calibri"/>
        <family val="2"/>
      </rPr>
      <t>*</t>
    </r>
  </si>
  <si>
    <r>
      <t>Division Config</t>
    </r>
    <r>
      <rPr>
        <b/>
        <sz val="10"/>
        <color rgb="FFFF0000"/>
        <rFont val="Calibri"/>
        <family val="2"/>
      </rPr>
      <t xml:space="preserve"> *</t>
    </r>
  </si>
  <si>
    <r>
      <t>Enterprise Config</t>
    </r>
    <r>
      <rPr>
        <b/>
        <sz val="10"/>
        <color rgb="FFFF0000"/>
        <rFont val="Calibri"/>
        <family val="2"/>
      </rPr>
      <t xml:space="preserve"> *</t>
    </r>
  </si>
  <si>
    <t>&lt;250 Concurrent users</t>
  </si>
  <si>
    <t>&lt;250 GB usable space</t>
  </si>
  <si>
    <t>&lt;15k External page views/day</t>
  </si>
  <si>
    <t>&lt;750 Concurrent users</t>
  </si>
  <si>
    <t>&lt;750 GB usable space</t>
  </si>
  <si>
    <t>15k–45k External page views/day</t>
  </si>
  <si>
    <t>&gt;750 Concurrent users</t>
  </si>
  <si>
    <t>&gt;1 TB usable space</t>
  </si>
  <si>
    <t>&gt;45k External page views/day</t>
  </si>
  <si>
    <r>
      <t>~$3,000/MMR</t>
    </r>
    <r>
      <rPr>
        <sz val="10"/>
        <color rgb="FFFF0000"/>
        <rFont val="Calibri"/>
        <family val="2"/>
      </rPr>
      <t>**</t>
    </r>
  </si>
  <si>
    <t>+ SP Licenses</t>
  </si>
  <si>
    <r>
      <t>~$12,000/MMR</t>
    </r>
    <r>
      <rPr>
        <sz val="10"/>
        <color rgb="FFFF0000"/>
        <rFont val="Calibri"/>
        <family val="2"/>
      </rPr>
      <t>**</t>
    </r>
  </si>
  <si>
    <r>
      <t>~$28,000/MMR</t>
    </r>
    <r>
      <rPr>
        <sz val="10"/>
        <color rgb="FFFF0000"/>
        <rFont val="Calibri"/>
        <family val="2"/>
      </rPr>
      <t>**</t>
    </r>
  </si>
  <si>
    <t>Target Customers:</t>
  </si>
  <si>
    <t>Those with smaller number of SharePoint Users such as SMB’s or “departments” within larger customers</t>
  </si>
  <si>
    <t>Customer does not require redundant server roles within the farm</t>
  </si>
  <si>
    <t>SharePoint is not Critical to the business</t>
  </si>
  <si>
    <t>Basic Collaboration requirements</t>
  </si>
  <si>
    <t>Target Customers</t>
  </si>
  <si>
    <t>Rackspace Data</t>
  </si>
  <si>
    <t>Hypervisor:</t>
  </si>
  <si>
    <t>Performance Bronze Server</t>
  </si>
  <si>
    <t xml:space="preserve">24GB RAM, 6 CPU Cores </t>
  </si>
  <si>
    <t>3x300 GB Drives (Raid 5)</t>
  </si>
  <si>
    <t xml:space="preserve">Resources: </t>
  </si>
  <si>
    <t>1x WFE: 2 Core, 8GB RAM</t>
  </si>
  <si>
    <t>1x AD:  1 Core, 2GB RAM</t>
  </si>
  <si>
    <t>1x SQL: 4 Core, 16GB RAM</t>
  </si>
  <si>
    <t xml:space="preserve">Medium sized implementations. </t>
  </si>
  <si>
    <t>There is redundancy in this farm at the hypervisor and server role level</t>
  </si>
  <si>
    <t>SQL is not redundant but will be managed by V-Motion</t>
  </si>
  <si>
    <t>Can serve basic versions of SharePoint up to the Enterprise version.</t>
  </si>
  <si>
    <t>Hypervisor(2):</t>
  </si>
  <si>
    <t>Performance Silver Server</t>
  </si>
  <si>
    <t xml:space="preserve">48GB RAM, 12 CPU Cores </t>
  </si>
  <si>
    <t>2x300 GB Drives (Raid 1)</t>
  </si>
  <si>
    <t>2x WFE: 2 Core, 8GB RAM</t>
  </si>
  <si>
    <t>2x AD:  1 Core, 2GB RAM</t>
  </si>
  <si>
    <t xml:space="preserve">1x SQL: 4 Core, 16GB RAM </t>
  </si>
  <si>
    <t>1x CA/Index: 4 Core, 8GB RAM</t>
  </si>
  <si>
    <t>Large implementations</t>
  </si>
  <si>
    <t>Can serve multi-national audiences</t>
  </si>
  <si>
    <t>Large data-sets</t>
  </si>
  <si>
    <t>High Processing requirements</t>
  </si>
  <si>
    <t>Highly Available</t>
  </si>
  <si>
    <t xml:space="preserve">“Enterprise” </t>
  </si>
  <si>
    <t>SQL Server(2):</t>
  </si>
  <si>
    <t>VM Resources:</t>
  </si>
  <si>
    <t>3x WFE VMs:  2vCPU, 8GB RAM</t>
  </si>
  <si>
    <t>2x APP VMs:  2vCPU, 8GB RAM</t>
  </si>
  <si>
    <t>2x AD VMs:  1vCPU, 8GB RAM</t>
  </si>
  <si>
    <t>1x Central Admin VM: 2vCPU, 8GB RAM</t>
  </si>
  <si>
    <t>Index Server(1):</t>
  </si>
  <si>
    <t>Enhanced Bronze Server</t>
  </si>
  <si>
    <t xml:space="preserve">8GB RAM, 4 CPU Cores </t>
  </si>
  <si>
    <t>2x146 GB Drives (Raid 1)</t>
  </si>
  <si>
    <t>Data Gathered July 2012</t>
  </si>
  <si>
    <t>Apptix Pricing Data</t>
  </si>
  <si>
    <r>
      <t>·</t>
    </r>
    <r>
      <rPr>
        <sz val="7"/>
        <color rgb="FF1F497D"/>
        <rFont val="Times New Roman"/>
        <family val="1"/>
      </rPr>
      <t xml:space="preserve">         </t>
    </r>
    <r>
      <rPr>
        <sz val="11"/>
        <color rgb="FF1F497D"/>
        <rFont val="Calibri"/>
        <family val="2"/>
        <scheme val="minor"/>
      </rPr>
      <t>AD integration is not included in this pricing</t>
    </r>
  </si>
  <si>
    <r>
      <t>·</t>
    </r>
    <r>
      <rPr>
        <sz val="7"/>
        <color rgb="FF1F497D"/>
        <rFont val="Times New Roman"/>
        <family val="1"/>
      </rPr>
      <t xml:space="preserve">         </t>
    </r>
    <r>
      <rPr>
        <sz val="11"/>
        <color rgb="FF1F497D"/>
        <rFont val="Calibri"/>
        <family val="2"/>
        <scheme val="minor"/>
      </rPr>
      <t xml:space="preserve">Backups are included </t>
    </r>
  </si>
  <si>
    <t>For AD integration we charge $150 per month and this includes two hours of setup time.  This is sufficient for most customers but we charge $150 per hour beyond the two hour setup for complicated integrations, etc.</t>
  </si>
  <si>
    <r>
      <t>·</t>
    </r>
    <r>
      <rPr>
        <sz val="11"/>
        <color rgb="FF1F497D"/>
        <rFont val="Times New Roman"/>
        <family val="1"/>
      </rPr>
      <t xml:space="preserve">    Additional Storage Cost are $1.00 per GB </t>
    </r>
  </si>
  <si>
    <t>Apptix</t>
  </si>
  <si>
    <t>Apptix "Savings"</t>
  </si>
  <si>
    <t>Apptix y1to3</t>
  </si>
  <si>
    <t>Apptix y1to4</t>
  </si>
  <si>
    <t>Apptix y1to5</t>
  </si>
  <si>
    <t>Company A</t>
  </si>
  <si>
    <t>Company B</t>
  </si>
  <si>
    <t>Company C</t>
  </si>
  <si>
    <t>Company D</t>
  </si>
  <si>
    <t>Company E</t>
  </si>
  <si>
    <t>Company F</t>
  </si>
  <si>
    <t>Company G</t>
  </si>
  <si>
    <t>Company H</t>
  </si>
  <si>
    <t>Company I</t>
  </si>
  <si>
    <t>Company J</t>
  </si>
  <si>
    <t>Company K</t>
  </si>
  <si>
    <t>Company L</t>
  </si>
  <si>
    <t>Company M</t>
  </si>
  <si>
    <t>Company N</t>
  </si>
  <si>
    <t>Company O</t>
  </si>
  <si>
    <t>Company P</t>
  </si>
  <si>
    <t>Company Q</t>
  </si>
  <si>
    <t>Company R</t>
  </si>
  <si>
    <t>Company S</t>
  </si>
  <si>
    <t>Company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</si>
</sst>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2"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color rgb="FF1F497D"/>
      <name val="Calibri"/>
      <family val="2"/>
      <scheme val="minor"/>
    </font>
    <font>
      <sz val="11"/>
      <color rgb="FF1F497D"/>
      <name val="Symbol"/>
      <family val="1"/>
      <charset val="2"/>
    </font>
    <font>
      <sz val="7"/>
      <color rgb="FF1F497D"/>
      <name val="Times New Roman"/>
      <family val="1"/>
    </font>
    <font>
      <sz val="11"/>
      <color rgb="FF1F497D"/>
      <name val="Courier New"/>
      <family val="3"/>
    </font>
    <font>
      <sz val="9"/>
      <color indexed="81"/>
      <name val="Tahoma"/>
      <family val="2"/>
    </font>
    <font>
      <b/>
      <sz val="9"/>
      <color indexed="81"/>
      <name val="Tahoma"/>
      <family val="2"/>
    </font>
    <font>
      <sz val="12"/>
      <color theme="0"/>
      <name val="Calibri"/>
      <family val="2"/>
      <scheme val="minor"/>
    </font>
    <font>
      <sz val="11"/>
      <color theme="1"/>
      <name val="Calibri"/>
      <family val="2"/>
      <scheme val="minor"/>
    </font>
    <font>
      <b/>
      <sz val="14"/>
      <color theme="1"/>
      <name val="Calibri"/>
      <family val="2"/>
      <scheme val="minor"/>
    </font>
    <font>
      <b/>
      <i/>
      <sz val="12"/>
      <color theme="1"/>
      <name val="Calibri"/>
      <family val="2"/>
      <scheme val="minor"/>
    </font>
    <font>
      <sz val="12"/>
      <color theme="1"/>
      <name val="Calibri"/>
      <family val="2"/>
      <scheme val="minor"/>
    </font>
    <font>
      <sz val="11"/>
      <color theme="1"/>
      <name val="Calibri"/>
      <family val="2"/>
    </font>
    <font>
      <b/>
      <sz val="11"/>
      <color theme="1"/>
      <name val="Calibri"/>
      <family val="2"/>
    </font>
    <font>
      <b/>
      <sz val="10"/>
      <color rgb="FFFF0000"/>
      <name val="Calibri"/>
      <family val="2"/>
    </font>
    <font>
      <sz val="10"/>
      <color theme="1"/>
      <name val="Calibri"/>
      <family val="2"/>
    </font>
    <font>
      <sz val="10"/>
      <color rgb="FFFF0000"/>
      <name val="Calibri"/>
      <family val="2"/>
    </font>
    <font>
      <u/>
      <sz val="11"/>
      <color theme="1"/>
      <name val="Calibri"/>
      <family val="2"/>
      <scheme val="minor"/>
    </font>
    <font>
      <sz val="11"/>
      <color rgb="FF1F497D"/>
      <name val="Times New Roman"/>
      <family val="1"/>
    </font>
  </fonts>
  <fills count="10">
    <fill>
      <patternFill patternType="none"/>
    </fill>
    <fill>
      <patternFill patternType="gray125"/>
    </fill>
    <fill>
      <patternFill patternType="solid">
        <fgColor rgb="FFA5A5A5"/>
      </patternFill>
    </fill>
    <fill>
      <patternFill patternType="solid">
        <fgColor theme="1"/>
        <bgColor indexed="64"/>
      </patternFill>
    </fill>
    <fill>
      <patternFill patternType="solid">
        <fgColor theme="1"/>
        <bgColor theme="1"/>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D9D9D9"/>
        <bgColor indexed="64"/>
      </patternFill>
    </fill>
    <fill>
      <patternFill patternType="solid">
        <fgColor rgb="FFFFFF00"/>
        <bgColor indexed="64"/>
      </patternFill>
    </fill>
  </fills>
  <borders count="32">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theme="1"/>
      </left>
      <right/>
      <top style="thin">
        <color theme="1"/>
      </top>
      <bottom/>
      <diagonal/>
    </border>
    <border>
      <left style="thin">
        <color theme="1"/>
      </left>
      <right/>
      <top style="thin">
        <color theme="1"/>
      </top>
      <bottom style="thin">
        <color theme="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thin">
        <color theme="1"/>
      </top>
      <bottom style="medium">
        <color indexed="64"/>
      </bottom>
      <diagonal/>
    </border>
    <border>
      <left style="medium">
        <color indexed="64"/>
      </left>
      <right/>
      <top style="thin">
        <color theme="1"/>
      </top>
      <bottom/>
      <diagonal/>
    </border>
    <border>
      <left/>
      <right/>
      <top style="thin">
        <color theme="1"/>
      </top>
      <bottom/>
      <diagonal/>
    </border>
    <border>
      <left/>
      <right/>
      <top style="thin">
        <color theme="1"/>
      </top>
      <bottom style="thin">
        <color theme="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theme="1"/>
      </right>
      <top style="thin">
        <color theme="1"/>
      </top>
      <bottom/>
      <diagonal/>
    </border>
    <border>
      <left/>
      <right style="thin">
        <color theme="1"/>
      </right>
      <top style="thin">
        <color theme="1"/>
      </top>
      <bottom style="thin">
        <color theme="1"/>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4">
    <xf numFmtId="0" fontId="0" fillId="0" borderId="0"/>
    <xf numFmtId="0" fontId="1" fillId="2" borderId="1" applyNumberFormat="0" applyAlignment="0" applyProtection="0"/>
    <xf numFmtId="44" fontId="11" fillId="0" borderId="0" applyFont="0" applyFill="0" applyBorder="0" applyAlignment="0" applyProtection="0"/>
    <xf numFmtId="9" fontId="11" fillId="0" borderId="0" applyFont="0" applyFill="0" applyBorder="0" applyAlignment="0" applyProtection="0"/>
  </cellStyleXfs>
  <cellXfs count="88">
    <xf numFmtId="0" fontId="0" fillId="0" borderId="0" xfId="0"/>
    <xf numFmtId="164" fontId="0" fillId="0" borderId="0" xfId="0" applyNumberFormat="1"/>
    <xf numFmtId="0" fontId="2" fillId="0" borderId="0" xfId="0" applyFont="1"/>
    <xf numFmtId="0" fontId="0" fillId="0" borderId="0" xfId="0" applyAlignment="1">
      <alignment wrapText="1"/>
    </xf>
    <xf numFmtId="2" fontId="0" fillId="0" borderId="0" xfId="0" applyNumberFormat="1"/>
    <xf numFmtId="0" fontId="1" fillId="3" borderId="2" xfId="1" applyFill="1" applyBorder="1"/>
    <xf numFmtId="0" fontId="3" fillId="0" borderId="0" xfId="0" applyFont="1"/>
    <xf numFmtId="164" fontId="3" fillId="0" borderId="0" xfId="0" applyNumberFormat="1" applyFont="1"/>
    <xf numFmtId="0" fontId="0" fillId="0" borderId="6" xfId="0" applyFont="1" applyBorder="1"/>
    <xf numFmtId="0" fontId="0" fillId="0" borderId="7" xfId="0" applyFont="1" applyBorder="1"/>
    <xf numFmtId="0" fontId="4" fillId="0" borderId="0" xfId="0" applyFont="1" applyAlignment="1">
      <alignment vertical="center"/>
    </xf>
    <xf numFmtId="0" fontId="5" fillId="0" borderId="0" xfId="0" applyFont="1" applyAlignment="1">
      <alignment horizontal="left" vertical="center" indent="5"/>
    </xf>
    <xf numFmtId="0" fontId="7" fillId="0" borderId="0" xfId="0" applyFont="1" applyAlignment="1">
      <alignment horizontal="left" vertical="center" indent="10"/>
    </xf>
    <xf numFmtId="10" fontId="0" fillId="0" borderId="0" xfId="0" applyNumberFormat="1"/>
    <xf numFmtId="4" fontId="0" fillId="0" borderId="0" xfId="0" applyNumberFormat="1"/>
    <xf numFmtId="0" fontId="0" fillId="0" borderId="9" xfId="0" applyBorder="1"/>
    <xf numFmtId="0" fontId="0" fillId="0" borderId="10" xfId="0" applyBorder="1"/>
    <xf numFmtId="0" fontId="0" fillId="0" borderId="11" xfId="0" applyBorder="1"/>
    <xf numFmtId="164" fontId="0" fillId="0" borderId="10" xfId="0" applyNumberFormat="1" applyBorder="1"/>
    <xf numFmtId="164" fontId="0" fillId="0" borderId="11" xfId="0" applyNumberFormat="1" applyBorder="1"/>
    <xf numFmtId="164" fontId="0" fillId="0" borderId="12" xfId="0" applyNumberFormat="1" applyBorder="1"/>
    <xf numFmtId="164" fontId="0" fillId="0" borderId="13" xfId="0" applyNumberFormat="1" applyBorder="1"/>
    <xf numFmtId="0" fontId="0" fillId="0" borderId="14" xfId="0" applyBorder="1"/>
    <xf numFmtId="0" fontId="0" fillId="0" borderId="0" xfId="0" applyBorder="1"/>
    <xf numFmtId="164" fontId="0" fillId="0" borderId="0" xfId="0" applyNumberFormat="1" applyBorder="1"/>
    <xf numFmtId="164" fontId="0" fillId="0" borderId="15" xfId="0" applyNumberFormat="1" applyBorder="1"/>
    <xf numFmtId="0" fontId="0" fillId="0" borderId="12" xfId="0" applyBorder="1"/>
    <xf numFmtId="0" fontId="2" fillId="0" borderId="8" xfId="0" applyFont="1" applyBorder="1"/>
    <xf numFmtId="0" fontId="0" fillId="0" borderId="0" xfId="0" applyFont="1" applyBorder="1"/>
    <xf numFmtId="0" fontId="0" fillId="0" borderId="11" xfId="0" applyFont="1" applyBorder="1"/>
    <xf numFmtId="0" fontId="1" fillId="4" borderId="17" xfId="0" applyFont="1" applyFill="1" applyBorder="1"/>
    <xf numFmtId="0" fontId="1" fillId="4" borderId="18" xfId="0" applyFont="1" applyFill="1" applyBorder="1"/>
    <xf numFmtId="164" fontId="0" fillId="0" borderId="17" xfId="0" applyNumberFormat="1" applyFont="1" applyBorder="1"/>
    <xf numFmtId="164" fontId="0" fillId="0" borderId="16" xfId="0" applyNumberFormat="1" applyFont="1" applyBorder="1"/>
    <xf numFmtId="0" fontId="0" fillId="0" borderId="18" xfId="0" applyFont="1" applyBorder="1"/>
    <xf numFmtId="0" fontId="0" fillId="0" borderId="19" xfId="0" applyFont="1" applyBorder="1"/>
    <xf numFmtId="0" fontId="10" fillId="0" borderId="0" xfId="0" applyFont="1"/>
    <xf numFmtId="0" fontId="0" fillId="0" borderId="8" xfId="0" applyBorder="1"/>
    <xf numFmtId="0" fontId="0" fillId="0" borderId="14" xfId="0" applyFont="1" applyBorder="1"/>
    <xf numFmtId="0" fontId="0" fillId="0" borderId="10" xfId="0" applyFont="1" applyBorder="1"/>
    <xf numFmtId="0" fontId="0" fillId="0" borderId="20" xfId="0" applyBorder="1"/>
    <xf numFmtId="0" fontId="0" fillId="0" borderId="21" xfId="0" applyBorder="1"/>
    <xf numFmtId="0" fontId="0" fillId="0" borderId="22" xfId="0" applyBorder="1"/>
    <xf numFmtId="0" fontId="0" fillId="0" borderId="23" xfId="0" applyBorder="1"/>
    <xf numFmtId="164" fontId="0" fillId="0" borderId="22" xfId="0" applyNumberFormat="1" applyBorder="1"/>
    <xf numFmtId="164" fontId="0" fillId="0" borderId="23" xfId="0" applyNumberFormat="1" applyBorder="1"/>
    <xf numFmtId="164" fontId="0" fillId="0" borderId="24" xfId="0" applyNumberFormat="1" applyBorder="1"/>
    <xf numFmtId="44" fontId="0" fillId="0" borderId="0" xfId="2" applyFont="1"/>
    <xf numFmtId="9" fontId="0" fillId="0" borderId="0" xfId="3" applyFont="1"/>
    <xf numFmtId="0" fontId="1" fillId="4" borderId="25" xfId="0" applyFont="1" applyFill="1" applyBorder="1"/>
    <xf numFmtId="164" fontId="0" fillId="0" borderId="25" xfId="0" applyNumberFormat="1" applyFont="1" applyBorder="1"/>
    <xf numFmtId="164" fontId="0" fillId="0" borderId="26" xfId="0" applyNumberFormat="1" applyFont="1" applyBorder="1"/>
    <xf numFmtId="0" fontId="0" fillId="0" borderId="17" xfId="0" applyFont="1" applyBorder="1"/>
    <xf numFmtId="0" fontId="0" fillId="0" borderId="16" xfId="0" applyFont="1" applyBorder="1"/>
    <xf numFmtId="0" fontId="12" fillId="0" borderId="0" xfId="0" applyFont="1"/>
    <xf numFmtId="164" fontId="2" fillId="0" borderId="0" xfId="0" applyNumberFormat="1" applyFont="1"/>
    <xf numFmtId="0" fontId="14" fillId="0" borderId="0" xfId="0" applyFont="1"/>
    <xf numFmtId="0" fontId="13" fillId="5" borderId="0" xfId="0" applyFont="1" applyFill="1"/>
    <xf numFmtId="0" fontId="14" fillId="5" borderId="0" xfId="0" applyFont="1" applyFill="1"/>
    <xf numFmtId="0" fontId="13" fillId="6" borderId="0" xfId="0" applyFont="1" applyFill="1"/>
    <xf numFmtId="0" fontId="0" fillId="6" borderId="0" xfId="0" applyFill="1"/>
    <xf numFmtId="0" fontId="13" fillId="7" borderId="0" xfId="0" applyFont="1" applyFill="1"/>
    <xf numFmtId="0" fontId="14" fillId="7" borderId="0" xfId="0" applyFont="1" applyFill="1"/>
    <xf numFmtId="0" fontId="2" fillId="0" borderId="20" xfId="0" applyFont="1" applyBorder="1"/>
    <xf numFmtId="0" fontId="0" fillId="0" borderId="27" xfId="0" applyBorder="1"/>
    <xf numFmtId="0" fontId="0" fillId="0" borderId="24" xfId="0" applyBorder="1"/>
    <xf numFmtId="0" fontId="16" fillId="8" borderId="28" xfId="0" applyFont="1" applyFill="1" applyBorder="1" applyAlignment="1">
      <alignment horizontal="center" vertical="center" wrapText="1"/>
    </xf>
    <xf numFmtId="0" fontId="16" fillId="8" borderId="29" xfId="0" applyFont="1" applyFill="1" applyBorder="1" applyAlignment="1">
      <alignment horizontal="center" vertical="center" wrapText="1"/>
    </xf>
    <xf numFmtId="0" fontId="18" fillId="0" borderId="31" xfId="0" applyFont="1" applyBorder="1" applyAlignment="1">
      <alignment vertical="center" wrapText="1"/>
    </xf>
    <xf numFmtId="0" fontId="18" fillId="0" borderId="11" xfId="0" applyFont="1" applyBorder="1" applyAlignment="1">
      <alignment vertical="center" wrapText="1"/>
    </xf>
    <xf numFmtId="0" fontId="0" fillId="0" borderId="0" xfId="0" applyAlignment="1">
      <alignment vertical="top" wrapText="1"/>
    </xf>
    <xf numFmtId="0" fontId="16" fillId="0" borderId="31" xfId="0" applyFont="1" applyBorder="1" applyAlignment="1">
      <alignment horizontal="center" vertical="center" wrapText="1"/>
    </xf>
    <xf numFmtId="0" fontId="15" fillId="0" borderId="30"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20" fillId="0" borderId="0" xfId="0" applyFont="1"/>
    <xf numFmtId="44" fontId="16" fillId="0" borderId="31" xfId="2" applyFont="1" applyBorder="1" applyAlignment="1">
      <alignment horizontal="center" vertical="center" wrapText="1"/>
    </xf>
    <xf numFmtId="44" fontId="16" fillId="0" borderId="11" xfId="2" applyFont="1" applyBorder="1" applyAlignment="1">
      <alignment horizontal="center" vertical="center" wrapText="1"/>
    </xf>
    <xf numFmtId="164" fontId="0" fillId="9" borderId="0" xfId="0" applyNumberFormat="1" applyFill="1" applyBorder="1"/>
    <xf numFmtId="164" fontId="0" fillId="9" borderId="10" xfId="0" applyNumberFormat="1" applyFill="1" applyBorder="1"/>
    <xf numFmtId="164" fontId="0" fillId="9" borderId="11" xfId="0" applyNumberFormat="1" applyFill="1" applyBorder="1"/>
    <xf numFmtId="164" fontId="0" fillId="9" borderId="15" xfId="0" applyNumberFormat="1" applyFill="1" applyBorder="1"/>
    <xf numFmtId="164" fontId="0" fillId="9" borderId="13" xfId="0" applyNumberFormat="1" applyFill="1" applyBorder="1"/>
    <xf numFmtId="0" fontId="4" fillId="0" borderId="0" xfId="0" applyFont="1" applyAlignment="1">
      <alignment vertical="center" wrapText="1"/>
    </xf>
    <xf numFmtId="0" fontId="0" fillId="0" borderId="3" xfId="0" applyFont="1" applyBorder="1" applyAlignment="1">
      <alignment wrapText="1"/>
    </xf>
    <xf numFmtId="0" fontId="0" fillId="0" borderId="4" xfId="0" applyFont="1" applyBorder="1" applyAlignment="1">
      <alignment wrapText="1"/>
    </xf>
    <xf numFmtId="0" fontId="0" fillId="0" borderId="5" xfId="0" applyFont="1" applyBorder="1" applyAlignment="1">
      <alignment wrapText="1"/>
    </xf>
    <xf numFmtId="0" fontId="0" fillId="0" borderId="0" xfId="0" applyAlignment="1">
      <alignment wrapText="1"/>
    </xf>
  </cellXfs>
  <cellStyles count="4">
    <cellStyle name="Check Cell" xfId="1" builtinId="23"/>
    <cellStyle name="Currency" xfId="2" builtinId="4"/>
    <cellStyle name="Normal" xfId="0" builtinId="0"/>
    <cellStyle name="Percent" xfId="3" builtinId="5"/>
  </cellStyles>
  <dxfs count="226">
    <dxf>
      <numFmt numFmtId="164" formatCode="&quot;$&quot;#,##0.00"/>
      <fill>
        <patternFill patternType="solid">
          <fgColor indexed="64"/>
          <bgColor rgb="FFFFFF00"/>
        </patternFill>
      </fill>
    </dxf>
    <dxf>
      <numFmt numFmtId="164" formatCode="&quot;$&quot;#,##0.00"/>
      <fill>
        <patternFill patternType="solid">
          <fgColor indexed="64"/>
          <bgColor rgb="FFFFFF00"/>
        </patternFill>
      </fill>
    </dxf>
    <dxf>
      <numFmt numFmtId="164" formatCode="&quot;$&quot;#,##0.00"/>
      <fill>
        <patternFill patternType="solid">
          <fgColor indexed="64"/>
          <bgColor rgb="FFFFFF00"/>
        </patternFill>
      </fill>
      <border diagonalUp="0" diagonalDown="0">
        <left style="medium">
          <color indexed="64"/>
        </left>
        <right/>
        <top/>
        <bottom/>
      </border>
    </dxf>
    <dxf>
      <numFmt numFmtId="164" formatCode="&quot;$&quot;#,##0.00"/>
      <fill>
        <patternFill patternType="solid">
          <fgColor indexed="64"/>
          <bgColor rgb="FFFFFF00"/>
        </patternFill>
      </fill>
      <border diagonalUp="0" diagonalDown="0">
        <left/>
        <right style="medium">
          <color indexed="64"/>
        </right>
        <top/>
        <bottom/>
      </border>
    </dxf>
    <dxf>
      <numFmt numFmtId="164" formatCode="&quot;$&quot;#,##0.00"/>
      <fill>
        <patternFill patternType="solid">
          <fgColor indexed="64"/>
          <bgColor rgb="FFFFFF00"/>
        </patternFill>
      </fill>
    </dxf>
    <dxf>
      <numFmt numFmtId="164" formatCode="&quot;$&quot;#,##0.00"/>
      <fill>
        <patternFill patternType="solid">
          <fgColor indexed="64"/>
          <bgColor rgb="FFFFFF00"/>
        </patternFill>
      </fill>
    </dxf>
    <dxf>
      <numFmt numFmtId="164" formatCode="&quot;$&quot;#,##0.00"/>
      <fill>
        <patternFill patternType="solid">
          <fgColor indexed="64"/>
          <bgColor rgb="FFFFFF00"/>
        </patternFill>
      </fill>
    </dxf>
    <dxf>
      <numFmt numFmtId="164" formatCode="&quot;$&quot;#,##0.00"/>
      <fill>
        <patternFill patternType="solid">
          <fgColor indexed="64"/>
          <bgColor rgb="FFFFFF00"/>
        </patternFill>
      </fill>
    </dxf>
    <dxf>
      <numFmt numFmtId="164" formatCode="&quot;$&quot;#,##0.00"/>
      <fill>
        <patternFill patternType="solid">
          <fgColor indexed="64"/>
          <bgColor rgb="FFFFFF00"/>
        </patternFill>
      </fill>
    </dxf>
    <dxf>
      <fill>
        <patternFill patternType="solid">
          <fgColor indexed="64"/>
          <bgColor rgb="FFFFFF00"/>
        </patternFill>
      </fill>
    </dxf>
    <dxf>
      <font>
        <b val="0"/>
        <i val="0"/>
        <strike val="0"/>
        <condense val="0"/>
        <extend val="0"/>
        <outline val="0"/>
        <shadow val="0"/>
        <u val="none"/>
        <vertAlign val="baseline"/>
        <sz val="11"/>
        <color theme="1"/>
        <name val="Calibri"/>
        <scheme val="minor"/>
      </font>
    </dxf>
    <dxf>
      <numFmt numFmtId="164" formatCode="&quot;$&quot;#,##0.00"/>
      <fill>
        <patternFill patternType="solid">
          <fgColor indexed="64"/>
          <bgColor rgb="FFFFFF00"/>
        </patternFill>
      </fill>
    </dxf>
    <dxf>
      <numFmt numFmtId="164" formatCode="&quot;$&quot;#,##0.00"/>
      <fill>
        <patternFill patternType="solid">
          <fgColor indexed="64"/>
          <bgColor rgb="FFFFFF00"/>
        </patternFill>
      </fill>
    </dxf>
    <dxf>
      <numFmt numFmtId="164" formatCode="&quot;$&quot;#,##0.00"/>
      <fill>
        <patternFill patternType="solid">
          <fgColor indexed="64"/>
          <bgColor rgb="FFFFFF00"/>
        </patternFill>
      </fill>
    </dxf>
    <dxf>
      <border outline="0">
        <left style="medium">
          <color indexed="64"/>
        </left>
        <right style="medium">
          <color indexed="64"/>
        </right>
        <bottom style="medium">
          <color indexed="64"/>
        </bottom>
      </border>
    </dxf>
    <dxf>
      <fill>
        <patternFill patternType="solid">
          <fgColor indexed="64"/>
          <bgColor rgb="FFFFFF00"/>
        </patternFill>
      </fill>
    </dxf>
    <dxf>
      <border diagonalUp="0" diagonalDown="0">
        <left style="thin">
          <color indexed="64"/>
        </left>
        <right/>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left style="medium">
          <color indexed="64"/>
        </left>
        <right/>
        <top style="thin">
          <color theme="1"/>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outline="0">
        <left style="medium">
          <color indexed="64"/>
        </left>
        <right/>
        <top/>
        <bottom/>
      </border>
    </dxf>
    <dxf>
      <font>
        <b val="0"/>
        <i val="0"/>
        <strike val="0"/>
        <condense val="0"/>
        <extend val="0"/>
        <outline val="0"/>
        <shadow val="0"/>
        <u val="none"/>
        <vertAlign val="baseline"/>
        <sz val="11"/>
        <color theme="1"/>
        <name val="Calibri"/>
        <scheme val="minor"/>
      </font>
      <border diagonalUp="0" diagonalDown="0">
        <left style="thin">
          <color theme="1"/>
        </left>
        <right/>
        <top style="thin">
          <color theme="1"/>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left style="medium">
          <color indexed="64"/>
        </left>
        <right/>
        <top style="thin">
          <color theme="1"/>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outline="0">
        <left style="medium">
          <color indexed="64"/>
        </left>
        <right/>
        <top/>
        <bottom/>
      </border>
    </dxf>
    <dxf>
      <font>
        <b val="0"/>
        <i val="0"/>
        <strike val="0"/>
        <condense val="0"/>
        <extend val="0"/>
        <outline val="0"/>
        <shadow val="0"/>
        <u val="none"/>
        <vertAlign val="baseline"/>
        <sz val="11"/>
        <color theme="1"/>
        <name val="Calibri"/>
        <scheme val="minor"/>
      </font>
      <border diagonalUp="0" diagonalDown="0">
        <left style="thin">
          <color theme="1"/>
        </left>
        <right/>
        <top style="thin">
          <color theme="1"/>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left style="medium">
          <color indexed="64"/>
        </left>
        <right/>
        <top style="thin">
          <color theme="1"/>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outline="0">
        <left style="medium">
          <color indexed="64"/>
        </left>
        <right/>
        <top/>
        <bottom/>
      </border>
    </dxf>
    <dxf>
      <font>
        <b val="0"/>
        <i val="0"/>
        <strike val="0"/>
        <condense val="0"/>
        <extend val="0"/>
        <outline val="0"/>
        <shadow val="0"/>
        <u val="none"/>
        <vertAlign val="baseline"/>
        <sz val="11"/>
        <color theme="1"/>
        <name val="Calibri"/>
        <scheme val="minor"/>
      </font>
      <border diagonalUp="0" diagonalDown="0">
        <left style="thin">
          <color theme="1"/>
        </left>
        <right/>
        <top style="thin">
          <color theme="1"/>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left style="medium">
          <color indexed="64"/>
        </left>
        <right/>
        <top style="thin">
          <color theme="1"/>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outline="0">
        <left style="medium">
          <color indexed="64"/>
        </left>
        <right/>
        <top/>
        <bottom/>
      </border>
    </dxf>
    <dxf>
      <font>
        <b val="0"/>
        <i val="0"/>
        <strike val="0"/>
        <condense val="0"/>
        <extend val="0"/>
        <outline val="0"/>
        <shadow val="0"/>
        <u val="none"/>
        <vertAlign val="baseline"/>
        <sz val="11"/>
        <color theme="1"/>
        <name val="Calibri"/>
        <scheme val="minor"/>
      </font>
      <border diagonalUp="0" diagonalDown="0">
        <left style="thin">
          <color theme="1"/>
        </left>
        <right/>
        <top style="thin">
          <color theme="1"/>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left style="medium">
          <color indexed="64"/>
        </left>
        <right/>
        <top style="thin">
          <color theme="1"/>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outline="0">
        <left style="medium">
          <color indexed="64"/>
        </left>
        <right/>
        <top/>
        <bottom/>
      </border>
    </dxf>
    <dxf>
      <font>
        <b val="0"/>
        <i val="0"/>
        <strike val="0"/>
        <condense val="0"/>
        <extend val="0"/>
        <outline val="0"/>
        <shadow val="0"/>
        <u val="none"/>
        <vertAlign val="baseline"/>
        <sz val="11"/>
        <color theme="1"/>
        <name val="Calibri"/>
        <scheme val="minor"/>
      </font>
      <border diagonalUp="0" diagonalDown="0">
        <left style="thin">
          <color theme="1"/>
        </left>
        <right/>
        <top style="thin">
          <color theme="1"/>
        </top>
        <bottom/>
        <vertical/>
        <horizontal/>
      </border>
    </dxf>
    <dxf>
      <numFmt numFmtId="164" formatCode="&quot;$&quot;#,##0.00"/>
    </dxf>
    <dxf>
      <numFmt numFmtId="164" formatCode="&quot;$&quot;#,##0.00"/>
    </dxf>
    <dxf>
      <font>
        <b val="0"/>
        <i val="0"/>
        <strike val="0"/>
        <condense val="0"/>
        <extend val="0"/>
        <outline val="0"/>
        <shadow val="0"/>
        <u val="none"/>
        <vertAlign val="baseline"/>
        <sz val="11"/>
        <color theme="1"/>
        <name val="Calibri"/>
        <scheme val="minor"/>
      </font>
      <border diagonalUp="0" diagonalDown="0">
        <left style="medium">
          <color indexed="64"/>
        </left>
        <right/>
        <top style="thin">
          <color theme="1"/>
        </top>
        <bottom/>
        <vertical/>
        <horizontal/>
      </border>
    </dxf>
    <dxf>
      <border outline="0">
        <left style="medium">
          <color indexed="64"/>
        </left>
      </border>
    </dxf>
    <dxf>
      <numFmt numFmtId="164" formatCode="&quot;$&quot;#,##0.00"/>
    </dxf>
    <dxf>
      <numFmt numFmtId="164" formatCode="&quot;$&quot;#,##0.00"/>
    </dxf>
    <dxf>
      <numFmt numFmtId="164" formatCode="&quot;$&quot;#,##0.00"/>
    </dxf>
    <dxf>
      <border diagonalUp="0" diagonalDown="0">
        <left style="medium">
          <color indexed="64"/>
        </left>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theme="1"/>
        </left>
        <right/>
        <top style="thin">
          <color theme="1"/>
        </top>
        <bottom/>
        <vertical/>
        <horizontal/>
      </border>
    </dxf>
    <dxf>
      <border outline="0">
        <right style="medium">
          <color indexed="64"/>
        </right>
      </border>
    </dxf>
    <dxf>
      <numFmt numFmtId="164" formatCode="&quot;$&quot;#,##0.00"/>
    </dxf>
    <dxf>
      <numFmt numFmtId="164" formatCode="&quot;$&quot;#,##0.00"/>
    </dxf>
    <dxf>
      <font>
        <b val="0"/>
        <i val="0"/>
        <strike val="0"/>
        <condense val="0"/>
        <extend val="0"/>
        <outline val="0"/>
        <shadow val="0"/>
        <u val="none"/>
        <vertAlign val="baseline"/>
        <sz val="11"/>
        <color theme="1"/>
        <name val="Calibri"/>
        <scheme val="minor"/>
      </font>
      <border diagonalUp="0" diagonalDown="0">
        <left style="medium">
          <color indexed="64"/>
        </left>
        <right/>
        <top style="thin">
          <color theme="1"/>
        </top>
        <bottom/>
        <vertical/>
        <horizontal/>
      </border>
    </dxf>
    <dxf>
      <border outline="0">
        <left style="medium">
          <color indexed="64"/>
        </left>
      </border>
    </dxf>
    <dxf>
      <numFmt numFmtId="164" formatCode="&quot;$&quot;#,##0.00"/>
    </dxf>
    <dxf>
      <numFmt numFmtId="164" formatCode="&quot;$&quot;#,##0.00"/>
    </dxf>
    <dxf>
      <numFmt numFmtId="164" formatCode="&quot;$&quot;#,##0.00"/>
    </dxf>
    <dxf>
      <border diagonalUp="0" diagonalDown="0">
        <left style="medium">
          <color indexed="64"/>
        </left>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theme="1"/>
        </left>
        <right/>
        <top style="thin">
          <color theme="1"/>
        </top>
        <bottom/>
        <vertical/>
        <horizontal/>
      </border>
    </dxf>
    <dxf>
      <border outline="0">
        <right style="medium">
          <color indexed="64"/>
        </right>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left style="medium">
          <color indexed="64"/>
        </left>
        <right/>
        <top style="thin">
          <color theme="1"/>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outline="0">
        <left style="medium">
          <color indexed="64"/>
        </left>
        <right/>
        <top/>
        <bottom/>
      </border>
    </dxf>
    <dxf>
      <font>
        <b val="0"/>
        <i val="0"/>
        <strike val="0"/>
        <condense val="0"/>
        <extend val="0"/>
        <outline val="0"/>
        <shadow val="0"/>
        <u val="none"/>
        <vertAlign val="baseline"/>
        <sz val="11"/>
        <color theme="1"/>
        <name val="Calibri"/>
        <scheme val="minor"/>
      </font>
      <border diagonalUp="0" diagonalDown="0">
        <left style="thin">
          <color theme="1"/>
        </left>
        <right/>
        <top style="thin">
          <color theme="1"/>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left style="medium">
          <color indexed="64"/>
        </left>
        <right/>
        <top style="thin">
          <color theme="1"/>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outline="0">
        <left style="medium">
          <color indexed="64"/>
        </left>
        <right/>
        <top/>
        <bottom/>
      </border>
    </dxf>
    <dxf>
      <font>
        <b val="0"/>
        <i val="0"/>
        <strike val="0"/>
        <condense val="0"/>
        <extend val="0"/>
        <outline val="0"/>
        <shadow val="0"/>
        <u val="none"/>
        <vertAlign val="baseline"/>
        <sz val="11"/>
        <color theme="1"/>
        <name val="Calibri"/>
        <scheme val="minor"/>
      </font>
      <border diagonalUp="0" diagonalDown="0">
        <left style="thin">
          <color theme="1"/>
        </left>
        <right/>
        <top style="thin">
          <color theme="1"/>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left style="medium">
          <color indexed="64"/>
        </left>
        <right/>
        <top style="thin">
          <color theme="1"/>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outline="0">
        <left style="medium">
          <color indexed="64"/>
        </left>
        <right/>
        <top/>
        <bottom/>
      </border>
    </dxf>
    <dxf>
      <font>
        <b val="0"/>
        <i val="0"/>
        <strike val="0"/>
        <condense val="0"/>
        <extend val="0"/>
        <outline val="0"/>
        <shadow val="0"/>
        <u val="none"/>
        <vertAlign val="baseline"/>
        <sz val="11"/>
        <color theme="1"/>
        <name val="Calibri"/>
        <scheme val="minor"/>
      </font>
      <border diagonalUp="0" diagonalDown="0">
        <left style="thin">
          <color theme="1"/>
        </left>
        <right/>
        <top style="thin">
          <color theme="1"/>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left style="medium">
          <color indexed="64"/>
        </left>
        <right/>
        <top style="thin">
          <color theme="1"/>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outline="0">
        <left style="medium">
          <color indexed="64"/>
        </left>
        <right/>
        <top/>
        <bottom/>
      </border>
    </dxf>
    <dxf>
      <font>
        <b val="0"/>
        <i val="0"/>
        <strike val="0"/>
        <condense val="0"/>
        <extend val="0"/>
        <outline val="0"/>
        <shadow val="0"/>
        <u val="none"/>
        <vertAlign val="baseline"/>
        <sz val="11"/>
        <color theme="1"/>
        <name val="Calibri"/>
        <scheme val="minor"/>
      </font>
      <border diagonalUp="0" diagonalDown="0">
        <left style="thin">
          <color theme="1"/>
        </left>
        <right/>
        <top style="thin">
          <color theme="1"/>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left style="medium">
          <color indexed="64"/>
        </left>
        <right/>
        <top style="thin">
          <color theme="1"/>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outline="0">
        <left style="medium">
          <color indexed="64"/>
        </left>
        <right/>
        <top/>
        <bottom/>
      </border>
    </dxf>
    <dxf>
      <font>
        <b val="0"/>
        <i val="0"/>
        <strike val="0"/>
        <condense val="0"/>
        <extend val="0"/>
        <outline val="0"/>
        <shadow val="0"/>
        <u val="none"/>
        <vertAlign val="baseline"/>
        <sz val="11"/>
        <color theme="1"/>
        <name val="Calibri"/>
        <scheme val="minor"/>
      </font>
      <border diagonalUp="0" diagonalDown="0">
        <left style="thin">
          <color theme="1"/>
        </left>
        <right/>
        <top style="thin">
          <color theme="1"/>
        </top>
        <bottom/>
        <vertical/>
        <horizontal/>
      </border>
    </dxf>
    <dxf>
      <numFmt numFmtId="164" formatCode="&quot;$&quot;#,##0.00"/>
      <border diagonalUp="0" diagonalDown="0">
        <left/>
        <right style="medium">
          <color indexed="64"/>
        </right>
        <top/>
        <bottom/>
        <vertical/>
        <horizontal/>
      </border>
    </dxf>
    <dxf>
      <font>
        <b val="0"/>
        <i val="0"/>
        <strike val="0"/>
        <condense val="0"/>
        <extend val="0"/>
        <outline val="0"/>
        <shadow val="0"/>
        <u val="none"/>
        <vertAlign val="baseline"/>
        <sz val="11"/>
        <color theme="1"/>
        <name val="Calibri"/>
        <scheme val="minor"/>
      </font>
      <numFmt numFmtId="164" formatCode="&quot;$&quot;#,##0.00"/>
      <border diagonalUp="0" diagonalDown="0">
        <left style="medium">
          <color indexed="64"/>
        </left>
        <right/>
        <top/>
        <bottom/>
        <vertical/>
        <horizontal/>
      </border>
    </dxf>
    <dxf>
      <font>
        <b val="0"/>
        <i val="0"/>
        <strike val="0"/>
        <condense val="0"/>
        <extend val="0"/>
        <outline val="0"/>
        <shadow val="0"/>
        <u val="none"/>
        <vertAlign val="baseline"/>
        <sz val="11"/>
        <color theme="1"/>
        <name val="Calibri"/>
        <scheme val="minor"/>
      </font>
      <border diagonalUp="0" diagonalDown="0">
        <left/>
        <right/>
        <top style="thin">
          <color theme="1"/>
        </top>
        <bottom/>
        <vertical/>
        <horizontal/>
      </border>
    </dxf>
    <dxf>
      <border outline="0">
        <left style="thin">
          <color theme="1"/>
        </left>
      </border>
    </dxf>
    <dxf>
      <numFmt numFmtId="164" formatCode="&quot;$&quot;#,##0.00"/>
    </dxf>
    <dxf>
      <numFmt numFmtId="164" formatCode="&quot;$&quot;#,##0.00"/>
      <border diagonalUp="0" diagonalDown="0">
        <left/>
        <right style="medium">
          <color indexed="64"/>
        </right>
        <top/>
        <bottom/>
        <vertical/>
        <horizontal/>
      </border>
    </dxf>
    <dxf>
      <numFmt numFmtId="164" formatCode="&quot;$&quot;#,##0.00"/>
      <border diagonalUp="0" diagonalDown="0">
        <left style="medium">
          <color indexed="64"/>
        </left>
        <right/>
        <top/>
        <bottom/>
        <vertical/>
        <horizontal/>
      </border>
    </dxf>
    <dxf>
      <font>
        <b val="0"/>
        <i val="0"/>
        <strike val="0"/>
        <condense val="0"/>
        <extend val="0"/>
        <outline val="0"/>
        <shadow val="0"/>
        <u val="none"/>
        <vertAlign val="baseline"/>
        <sz val="11"/>
        <color theme="1"/>
        <name val="Calibri"/>
        <scheme val="minor"/>
      </font>
      <border diagonalUp="0" diagonalDown="0">
        <left/>
        <right/>
        <top style="thin">
          <color theme="1"/>
        </top>
        <bottom/>
        <vertical/>
        <horizontal/>
      </border>
    </dxf>
    <dxf>
      <border outline="0">
        <left style="thin">
          <color theme="1"/>
        </left>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left style="medium">
          <color indexed="64"/>
        </left>
        <right/>
        <top style="thin">
          <color theme="1"/>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outline="0">
        <left style="medium">
          <color indexed="64"/>
        </left>
        <right/>
        <top/>
        <bottom/>
      </border>
    </dxf>
    <dxf>
      <font>
        <b val="0"/>
        <i val="0"/>
        <strike val="0"/>
        <condense val="0"/>
        <extend val="0"/>
        <outline val="0"/>
        <shadow val="0"/>
        <u val="none"/>
        <vertAlign val="baseline"/>
        <sz val="11"/>
        <color theme="1"/>
        <name val="Calibri"/>
        <scheme val="minor"/>
      </font>
      <border diagonalUp="0" diagonalDown="0">
        <left style="thin">
          <color theme="1"/>
        </left>
        <right/>
        <top style="thin">
          <color theme="1"/>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left style="medium">
          <color indexed="64"/>
        </left>
        <right/>
        <top style="thin">
          <color theme="1"/>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outline="0">
        <left style="medium">
          <color indexed="64"/>
        </left>
        <right/>
        <top/>
        <bottom/>
      </border>
    </dxf>
    <dxf>
      <font>
        <b val="0"/>
        <i val="0"/>
        <strike val="0"/>
        <condense val="0"/>
        <extend val="0"/>
        <outline val="0"/>
        <shadow val="0"/>
        <u val="none"/>
        <vertAlign val="baseline"/>
        <sz val="11"/>
        <color theme="1"/>
        <name val="Calibri"/>
        <scheme val="minor"/>
      </font>
      <border diagonalUp="0" diagonalDown="0">
        <left style="thin">
          <color theme="1"/>
        </left>
        <right/>
        <top style="thin">
          <color theme="1"/>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left style="medium">
          <color indexed="64"/>
        </left>
        <right/>
        <top style="thin">
          <color theme="1"/>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dxf>
    <dxf>
      <border diagonalUp="0" diagonalDown="0" outline="0">
        <left style="medium">
          <color indexed="64"/>
        </left>
        <right/>
        <top/>
        <bottom/>
      </border>
    </dxf>
    <dxf>
      <font>
        <b val="0"/>
        <i val="0"/>
        <strike val="0"/>
        <condense val="0"/>
        <extend val="0"/>
        <outline val="0"/>
        <shadow val="0"/>
        <u val="none"/>
        <vertAlign val="baseline"/>
        <sz val="11"/>
        <color theme="1"/>
        <name val="Calibri"/>
        <scheme val="minor"/>
      </font>
      <border diagonalUp="0" diagonalDown="0">
        <left style="thin">
          <color theme="1"/>
        </left>
        <right/>
        <top style="thin">
          <color theme="1"/>
        </top>
        <bottom/>
        <vertical/>
        <horizontal/>
      </border>
    </dxf>
    <dxf>
      <numFmt numFmtId="164" formatCode="&quot;$&quot;#,##0.00"/>
      <fill>
        <patternFill patternType="solid">
          <fgColor indexed="64"/>
          <bgColor rgb="FFFFFF00"/>
        </patternFill>
      </fill>
    </dxf>
    <dxf>
      <numFmt numFmtId="164" formatCode="&quot;$&quot;#,##0.00"/>
    </dxf>
    <dxf>
      <numFmt numFmtId="164" formatCode="&quot;$&quot;#,##0.00"/>
    </dxf>
    <dxf>
      <numFmt numFmtId="164" formatCode="&quot;$&quot;#,##0.00"/>
      <fill>
        <patternFill patternType="solid">
          <fgColor indexed="64"/>
          <bgColor rgb="FFFFFF00"/>
        </patternFill>
      </fill>
    </dxf>
    <dxf>
      <numFmt numFmtId="164" formatCode="&quot;$&quot;#,##0.00"/>
    </dxf>
    <dxf>
      <numFmt numFmtId="164" formatCode="&quot;$&quot;#,##0.00"/>
    </dxf>
    <dxf>
      <numFmt numFmtId="164" formatCode="&quot;$&quot;#,##0.00"/>
      <fill>
        <patternFill patternType="solid">
          <fgColor indexed="64"/>
          <bgColor rgb="FFFFFF00"/>
        </patternFill>
      </fill>
    </dxf>
    <dxf>
      <numFmt numFmtId="164" formatCode="&quot;$&quot;#,##0.00"/>
    </dxf>
    <dxf>
      <numFmt numFmtId="164" formatCode="&quot;$&quot;#,##0.00"/>
    </dxf>
    <dxf>
      <numFmt numFmtId="164" formatCode="&quot;$&quot;#,##0.00"/>
      <fill>
        <patternFill patternType="solid">
          <fgColor indexed="64"/>
          <bgColor rgb="FFFFFF00"/>
        </patternFill>
      </fill>
    </dxf>
    <dxf>
      <numFmt numFmtId="164" formatCode="&quot;$&quot;#,##0.00"/>
    </dxf>
    <dxf>
      <numFmt numFmtId="164" formatCode="&quot;$&quot;#,##0.00"/>
      <border diagonalUp="0" diagonalDown="0">
        <left style="thin">
          <color indexed="64"/>
        </left>
        <right/>
        <top/>
        <bottom/>
        <vertical/>
        <horizontal/>
      </border>
    </dxf>
    <dxf>
      <numFmt numFmtId="164" formatCode="&quot;$&quot;#,##0.00"/>
    </dxf>
    <dxf>
      <numFmt numFmtId="164" formatCode="&quot;$&quot;#,##0.00"/>
    </dxf>
    <dxf>
      <numFmt numFmtId="164" formatCode="&quot;$&quot;#,##0.00"/>
    </dxf>
    <dxf>
      <numFmt numFmtId="164" formatCode="&quot;$&quot;#,##0.00"/>
      <border diagonalUp="0" diagonalDown="0">
        <left/>
        <right style="medium">
          <color indexed="64"/>
        </right>
        <top/>
        <bottom/>
        <vertical/>
        <horizontal/>
      </border>
    </dxf>
    <dxf>
      <numFmt numFmtId="164" formatCode="&quot;$&quot;#,##0.00"/>
    </dxf>
    <dxf>
      <numFmt numFmtId="164" formatCode="&quot;$&quot;#,##0.00"/>
    </dxf>
    <dxf>
      <numFmt numFmtId="164" formatCode="&quot;$&quot;#,##0.00"/>
    </dxf>
    <dxf>
      <numFmt numFmtId="164" formatCode="&quot;$&quot;#,##0.00"/>
    </dxf>
    <dxf>
      <numFmt numFmtId="164" formatCode="&quot;$&quot;#,##0.00"/>
      <border diagonalUp="0" diagonalDown="0">
        <left style="medium">
          <color indexed="64"/>
        </left>
        <right/>
        <top/>
        <bottom/>
        <vertical/>
        <horizontal/>
      </border>
    </dxf>
    <dxf>
      <numFmt numFmtId="164" formatCode="&quot;$&quot;#,##0.00"/>
    </dxf>
    <dxf>
      <numFmt numFmtId="164" formatCode="&quot;$&quot;#,##0.00"/>
    </dxf>
    <dxf>
      <numFmt numFmtId="164" formatCode="&quot;$&quot;#,##0.00"/>
    </dxf>
    <dxf>
      <numFmt numFmtId="164" formatCode="&quot;$&quot;#,##0.00"/>
      <border diagonalUp="0" diagonalDown="0">
        <left style="medium">
          <color indexed="64"/>
        </left>
        <right/>
        <top/>
        <bottom/>
        <vertical/>
        <horizontal/>
      </border>
    </dxf>
    <dxf>
      <numFmt numFmtId="164" formatCode="&quot;$&quot;#,##0.00"/>
    </dxf>
    <dxf>
      <numFmt numFmtId="164" formatCode="&quot;$&quot;#,##0.00"/>
    </dxf>
    <dxf>
      <numFmt numFmtId="164" formatCode="&quot;$&quot;#,##0.00"/>
      <border diagonalUp="0" diagonalDown="0">
        <left/>
        <right style="medium">
          <color indexed="64"/>
        </right>
        <top/>
        <bottom/>
        <vertical/>
        <horizontal/>
      </border>
    </dxf>
    <dxf>
      <numFmt numFmtId="164" formatCode="&quot;$&quot;#,##0.00"/>
      <border diagonalUp="0" diagonalDown="0">
        <left style="medium">
          <color indexed="64"/>
        </left>
        <right/>
        <top/>
        <bottom/>
        <vertical/>
        <horizontal/>
      </border>
    </dxf>
    <dxf>
      <numFmt numFmtId="164" formatCode="&quot;$&quot;#,##0.00"/>
      <border diagonalUp="0" diagonalDown="0">
        <left/>
        <right style="medium">
          <color indexed="64"/>
        </right>
        <top/>
        <bottom/>
        <vertical/>
        <horizontal/>
      </border>
    </dxf>
    <dxf>
      <numFmt numFmtId="164" formatCode="&quot;$&quot;#,##0.00"/>
    </dxf>
    <dxf>
      <numFmt numFmtId="164" formatCode="&quot;$&quot;#,##0.00"/>
      <border diagonalUp="0" diagonalDown="0">
        <left style="medium">
          <color indexed="64"/>
        </left>
        <right/>
        <top/>
        <bottom/>
        <vertical/>
        <horizontal/>
      </border>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4" formatCode="#,##0.00"/>
    </dxf>
    <dxf>
      <numFmt numFmtId="164" formatCode="&quot;$&quot;#,##0.00"/>
    </dxf>
    <dxf>
      <numFmt numFmtId="164" formatCode="&quot;$&quot;#,##0.00"/>
    </dxf>
    <dxf>
      <numFmt numFmtId="14" formatCode="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alignment horizontal="general" vertical="bottom" textRotation="0" wrapText="1" indent="0" justifyLastLine="0" shrinkToFit="0" readingOrder="0"/>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SharePoint</a:t>
            </a:r>
            <a:r>
              <a:rPr lang="en-US" baseline="0"/>
              <a:t> - </a:t>
            </a:r>
            <a:r>
              <a:rPr lang="en-US"/>
              <a:t>Single Server Install</a:t>
            </a:r>
          </a:p>
        </c:rich>
      </c:tx>
      <c:layout/>
      <c:overlay val="0"/>
    </c:title>
    <c:autoTitleDeleted val="0"/>
    <c:plotArea>
      <c:layout/>
      <c:lineChart>
        <c:grouping val="standard"/>
        <c:varyColors val="0"/>
        <c:ser>
          <c:idx val="0"/>
          <c:order val="0"/>
          <c:tx>
            <c:v>Low Estimates</c:v>
          </c:tx>
          <c:marker>
            <c:symbol val="none"/>
          </c:marker>
          <c:cat>
            <c:strRef>
              <c:f>'Professional Service Estimates'!$G$18:$G$30</c:f>
              <c:strCache>
                <c:ptCount val="13"/>
                <c:pt idx="0">
                  <c:v>Firm A</c:v>
                </c:pt>
                <c:pt idx="1">
                  <c:v>Firm B</c:v>
                </c:pt>
                <c:pt idx="2">
                  <c:v>Firm C</c:v>
                </c:pt>
                <c:pt idx="3">
                  <c:v>Firm D</c:v>
                </c:pt>
                <c:pt idx="4">
                  <c:v>Firm E</c:v>
                </c:pt>
                <c:pt idx="5">
                  <c:v>Firm F</c:v>
                </c:pt>
                <c:pt idx="6">
                  <c:v>Firm G</c:v>
                </c:pt>
                <c:pt idx="7">
                  <c:v>Firm H</c:v>
                </c:pt>
                <c:pt idx="8">
                  <c:v>Firm I</c:v>
                </c:pt>
                <c:pt idx="9">
                  <c:v>Firm J</c:v>
                </c:pt>
                <c:pt idx="10">
                  <c:v>Firm K</c:v>
                </c:pt>
                <c:pt idx="11">
                  <c:v>Firm L</c:v>
                </c:pt>
                <c:pt idx="12">
                  <c:v>Firm M</c:v>
                </c:pt>
              </c:strCache>
            </c:strRef>
          </c:cat>
          <c:val>
            <c:numRef>
              <c:f>'Professional Service Estimates'!$E$18:$E$30</c:f>
              <c:numCache>
                <c:formatCode>"$"#,##0.00</c:formatCode>
                <c:ptCount val="13"/>
                <c:pt idx="0">
                  <c:v>1500</c:v>
                </c:pt>
                <c:pt idx="1">
                  <c:v>1365</c:v>
                </c:pt>
                <c:pt idx="2">
                  <c:v>1800</c:v>
                </c:pt>
                <c:pt idx="3">
                  <c:v>3960</c:v>
                </c:pt>
                <c:pt idx="4">
                  <c:v>3600</c:v>
                </c:pt>
                <c:pt idx="5">
                  <c:v>1400</c:v>
                </c:pt>
                <c:pt idx="6">
                  <c:v>2100</c:v>
                </c:pt>
                <c:pt idx="7">
                  <c:v>1020</c:v>
                </c:pt>
                <c:pt idx="8">
                  <c:v>3600</c:v>
                </c:pt>
                <c:pt idx="9">
                  <c:v>2960</c:v>
                </c:pt>
                <c:pt idx="10">
                  <c:v>2100</c:v>
                </c:pt>
                <c:pt idx="11">
                  <c:v>700</c:v>
                </c:pt>
                <c:pt idx="12">
                  <c:v>2400</c:v>
                </c:pt>
              </c:numCache>
            </c:numRef>
          </c:val>
          <c:smooth val="0"/>
        </c:ser>
        <c:ser>
          <c:idx val="1"/>
          <c:order val="1"/>
          <c:tx>
            <c:v>High Estimates</c:v>
          </c:tx>
          <c:marker>
            <c:symbol val="none"/>
          </c:marker>
          <c:val>
            <c:numRef>
              <c:f>'Professional Service Estimates'!$F$18:$F$30</c:f>
              <c:numCache>
                <c:formatCode>"$"#,##0.00</c:formatCode>
                <c:ptCount val="13"/>
                <c:pt idx="0">
                  <c:v>2400</c:v>
                </c:pt>
                <c:pt idx="1">
                  <c:v>2100</c:v>
                </c:pt>
                <c:pt idx="2">
                  <c:v>4800</c:v>
                </c:pt>
                <c:pt idx="3">
                  <c:v>6600</c:v>
                </c:pt>
                <c:pt idx="4">
                  <c:v>4800</c:v>
                </c:pt>
                <c:pt idx="5">
                  <c:v>3500</c:v>
                </c:pt>
                <c:pt idx="6">
                  <c:v>3600</c:v>
                </c:pt>
                <c:pt idx="7">
                  <c:v>2040</c:v>
                </c:pt>
                <c:pt idx="8">
                  <c:v>3600</c:v>
                </c:pt>
                <c:pt idx="9">
                  <c:v>4070</c:v>
                </c:pt>
                <c:pt idx="10">
                  <c:v>2700</c:v>
                </c:pt>
                <c:pt idx="11">
                  <c:v>1100</c:v>
                </c:pt>
                <c:pt idx="12">
                  <c:v>4800</c:v>
                </c:pt>
              </c:numCache>
            </c:numRef>
          </c:val>
          <c:smooth val="0"/>
        </c:ser>
        <c:dLbls>
          <c:showLegendKey val="0"/>
          <c:showVal val="0"/>
          <c:showCatName val="0"/>
          <c:showSerName val="0"/>
          <c:showPercent val="0"/>
          <c:showBubbleSize val="0"/>
        </c:dLbls>
        <c:marker val="1"/>
        <c:smooth val="0"/>
        <c:axId val="57055232"/>
        <c:axId val="140126464"/>
      </c:lineChart>
      <c:catAx>
        <c:axId val="57055232"/>
        <c:scaling>
          <c:orientation val="minMax"/>
        </c:scaling>
        <c:delete val="0"/>
        <c:axPos val="b"/>
        <c:numFmt formatCode="General" sourceLinked="0"/>
        <c:majorTickMark val="none"/>
        <c:minorTickMark val="none"/>
        <c:tickLblPos val="nextTo"/>
        <c:crossAx val="140126464"/>
        <c:crosses val="autoZero"/>
        <c:auto val="1"/>
        <c:lblAlgn val="ctr"/>
        <c:lblOffset val="100"/>
        <c:noMultiLvlLbl val="0"/>
      </c:catAx>
      <c:valAx>
        <c:axId val="140126464"/>
        <c:scaling>
          <c:orientation val="minMax"/>
        </c:scaling>
        <c:delete val="0"/>
        <c:axPos val="l"/>
        <c:majorGridlines/>
        <c:title>
          <c:tx>
            <c:rich>
              <a:bodyPr/>
              <a:lstStyle/>
              <a:p>
                <a:pPr>
                  <a:defRPr/>
                </a:pPr>
                <a:r>
                  <a:rPr lang="en-US"/>
                  <a:t>Professional Services</a:t>
                </a:r>
              </a:p>
            </c:rich>
          </c:tx>
          <c:layout/>
          <c:overlay val="0"/>
        </c:title>
        <c:numFmt formatCode="&quot;$&quot;#,##0.00" sourceLinked="1"/>
        <c:majorTickMark val="none"/>
        <c:minorTickMark val="none"/>
        <c:tickLblPos val="nextTo"/>
        <c:crossAx val="570552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Year 1 Cost Savings for</a:t>
            </a:r>
            <a:r>
              <a:rPr lang="en-US" baseline="0"/>
              <a:t> On Premises (w/o Licensing or Hardware)</a:t>
            </a:r>
          </a:p>
        </c:rich>
      </c:tx>
      <c:layout/>
      <c:overlay val="0"/>
    </c:title>
    <c:autoTitleDeleted val="0"/>
    <c:plotArea>
      <c:layout/>
      <c:barChart>
        <c:barDir val="col"/>
        <c:grouping val="clustered"/>
        <c:varyColors val="0"/>
        <c:ser>
          <c:idx val="0"/>
          <c:order val="0"/>
          <c:tx>
            <c:v>Year 1 Savings</c:v>
          </c:tx>
          <c:spPr>
            <a:solidFill>
              <a:schemeClr val="accent3"/>
            </a:solidFill>
          </c:spPr>
          <c:invertIfNegative val="0"/>
          <c:dLbls>
            <c:spPr>
              <a:solidFill>
                <a:schemeClr val="bg1"/>
              </a:solidFill>
              <a:ln>
                <a:solidFill>
                  <a:schemeClr val="tx1"/>
                </a:solidFill>
              </a:ln>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Graphs!$N$6:$N$10</c:f>
              <c:numCache>
                <c:formatCode>"$"#,##0.00</c:formatCode>
                <c:ptCount val="5"/>
                <c:pt idx="0">
                  <c:v>-220.41169230769447</c:v>
                </c:pt>
                <c:pt idx="1">
                  <c:v>-4062.44446153846</c:v>
                </c:pt>
                <c:pt idx="2">
                  <c:v>10305.87533333333</c:v>
                </c:pt>
                <c:pt idx="3">
                  <c:v>-792.40315384615678</c:v>
                </c:pt>
                <c:pt idx="4">
                  <c:v>19036.823333333334</c:v>
                </c:pt>
              </c:numCache>
            </c:numRef>
          </c:val>
        </c:ser>
        <c:dLbls>
          <c:showLegendKey val="0"/>
          <c:showVal val="0"/>
          <c:showCatName val="0"/>
          <c:showSerName val="0"/>
          <c:showPercent val="0"/>
          <c:showBubbleSize val="0"/>
        </c:dLbls>
        <c:gapWidth val="150"/>
        <c:axId val="110714368"/>
        <c:axId val="49214528"/>
      </c:barChart>
      <c:catAx>
        <c:axId val="110714368"/>
        <c:scaling>
          <c:orientation val="minMax"/>
        </c:scaling>
        <c:delete val="0"/>
        <c:axPos val="b"/>
        <c:numFmt formatCode="General" sourceLinked="0"/>
        <c:majorTickMark val="none"/>
        <c:minorTickMark val="none"/>
        <c:tickLblPos val="nextTo"/>
        <c:crossAx val="49214528"/>
        <c:crosses val="autoZero"/>
        <c:auto val="1"/>
        <c:lblAlgn val="ctr"/>
        <c:lblOffset val="100"/>
        <c:noMultiLvlLbl val="0"/>
      </c:catAx>
      <c:valAx>
        <c:axId val="49214528"/>
        <c:scaling>
          <c:orientation val="minMax"/>
        </c:scaling>
        <c:delete val="0"/>
        <c:axPos val="l"/>
        <c:majorGridlines/>
        <c:title>
          <c:tx>
            <c:rich>
              <a:bodyPr/>
              <a:lstStyle/>
              <a:p>
                <a:pPr>
                  <a:defRPr/>
                </a:pPr>
                <a:r>
                  <a:rPr lang="en-US"/>
                  <a:t>Savings</a:t>
                </a:r>
              </a:p>
            </c:rich>
          </c:tx>
          <c:layout/>
          <c:overlay val="0"/>
        </c:title>
        <c:numFmt formatCode="&quot;$&quot;#,##0.00" sourceLinked="1"/>
        <c:majorTickMark val="none"/>
        <c:minorTickMark val="none"/>
        <c:tickLblPos val="nextTo"/>
        <c:crossAx val="110714368"/>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Year 2</a:t>
            </a:r>
            <a:r>
              <a:rPr lang="en-US" baseline="0"/>
              <a:t> Cost Savings for On Premises (w/o Licensing or Hardware Costs)</a:t>
            </a:r>
            <a:endParaRPr lang="en-US"/>
          </a:p>
        </c:rich>
      </c:tx>
      <c:layout/>
      <c:overlay val="0"/>
    </c:title>
    <c:autoTitleDeleted val="0"/>
    <c:plotArea>
      <c:layout/>
      <c:barChart>
        <c:barDir val="col"/>
        <c:grouping val="clustered"/>
        <c:varyColors val="0"/>
        <c:ser>
          <c:idx val="0"/>
          <c:order val="0"/>
          <c:tx>
            <c:v>Year 2 Savings</c:v>
          </c:tx>
          <c:spPr>
            <a:solidFill>
              <a:schemeClr val="accent3"/>
            </a:solidFill>
          </c:spPr>
          <c:invertIfNegative val="0"/>
          <c:dLbls>
            <c:spPr>
              <a:solidFill>
                <a:schemeClr val="bg1"/>
              </a:solidFill>
              <a:ln>
                <a:solidFill>
                  <a:schemeClr val="tx1"/>
                </a:solid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Graphs!$O$6:$O$10</c:f>
              <c:numCache>
                <c:formatCode>"$"#,##0.00</c:formatCode>
                <c:ptCount val="5"/>
                <c:pt idx="0">
                  <c:v>2649.395999999997</c:v>
                </c:pt>
                <c:pt idx="1">
                  <c:v>-165.90599999999904</c:v>
                </c:pt>
                <c:pt idx="2">
                  <c:v>17118.791999999994</c:v>
                </c:pt>
                <c:pt idx="3">
                  <c:v>3886.4429999999993</c:v>
                </c:pt>
                <c:pt idx="4">
                  <c:v>27503.489999999998</c:v>
                </c:pt>
              </c:numCache>
            </c:numRef>
          </c:val>
        </c:ser>
        <c:dLbls>
          <c:dLblPos val="outEnd"/>
          <c:showLegendKey val="0"/>
          <c:showVal val="1"/>
          <c:showCatName val="0"/>
          <c:showSerName val="0"/>
          <c:showPercent val="0"/>
          <c:showBubbleSize val="0"/>
        </c:dLbls>
        <c:gapWidth val="150"/>
        <c:axId val="140469248"/>
        <c:axId val="49216256"/>
      </c:barChart>
      <c:catAx>
        <c:axId val="140469248"/>
        <c:scaling>
          <c:orientation val="minMax"/>
        </c:scaling>
        <c:delete val="0"/>
        <c:axPos val="b"/>
        <c:numFmt formatCode="General" sourceLinked="0"/>
        <c:majorTickMark val="none"/>
        <c:minorTickMark val="none"/>
        <c:tickLblPos val="nextTo"/>
        <c:crossAx val="49216256"/>
        <c:crosses val="autoZero"/>
        <c:auto val="1"/>
        <c:lblAlgn val="ctr"/>
        <c:lblOffset val="100"/>
        <c:noMultiLvlLbl val="0"/>
      </c:catAx>
      <c:valAx>
        <c:axId val="49216256"/>
        <c:scaling>
          <c:orientation val="minMax"/>
        </c:scaling>
        <c:delete val="0"/>
        <c:axPos val="l"/>
        <c:majorGridlines/>
        <c:title>
          <c:tx>
            <c:rich>
              <a:bodyPr/>
              <a:lstStyle/>
              <a:p>
                <a:pPr>
                  <a:defRPr/>
                </a:pPr>
                <a:r>
                  <a:rPr lang="en-US"/>
                  <a:t>Savings</a:t>
                </a:r>
              </a:p>
            </c:rich>
          </c:tx>
          <c:layout/>
          <c:overlay val="0"/>
        </c:title>
        <c:numFmt formatCode="&quot;$&quot;#,##0.00" sourceLinked="1"/>
        <c:majorTickMark val="none"/>
        <c:minorTickMark val="none"/>
        <c:tickLblPos val="nextTo"/>
        <c:crossAx val="140469248"/>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Implementation</a:t>
            </a:r>
            <a:r>
              <a:rPr lang="en-US" baseline="0"/>
              <a:t> </a:t>
            </a:r>
            <a:r>
              <a:rPr lang="en-US"/>
              <a:t>Low User Count </a:t>
            </a:r>
            <a:r>
              <a:rPr lang="en-US" sz="1800" b="1" i="0" baseline="0">
                <a:effectLst/>
              </a:rPr>
              <a:t>(Enterprise Licensing)</a:t>
            </a:r>
            <a:endParaRPr lang="en-US">
              <a:effectLst/>
            </a:endParaRP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strRef>
              <c:f>Graphs!$C$110</c:f>
              <c:strCache>
                <c:ptCount val="1"/>
                <c:pt idx="0">
                  <c:v>Office 365 (SP Online Plan 2)</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Graphs!$C$111:$C$115</c:f>
              <c:numCache>
                <c:formatCode>"$"#,##0.00</c:formatCode>
                <c:ptCount val="5"/>
                <c:pt idx="0">
                  <c:v>400</c:v>
                </c:pt>
                <c:pt idx="1">
                  <c:v>400</c:v>
                </c:pt>
                <c:pt idx="2">
                  <c:v>800</c:v>
                </c:pt>
                <c:pt idx="3">
                  <c:v>400</c:v>
                </c:pt>
                <c:pt idx="4">
                  <c:v>800</c:v>
                </c:pt>
              </c:numCache>
            </c:numRef>
          </c:val>
        </c:ser>
        <c:ser>
          <c:idx val="2"/>
          <c:order val="1"/>
          <c:tx>
            <c:strRef>
              <c:f>Graphs!$D$110</c:f>
              <c:strCache>
                <c:ptCount val="1"/>
                <c:pt idx="0">
                  <c:v>On Premises</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Graphs!$D$111:$D$115</c:f>
              <c:numCache>
                <c:formatCode>"$"#,##0.00</c:formatCode>
                <c:ptCount val="5"/>
                <c:pt idx="0">
                  <c:v>12846.269358173076</c:v>
                </c:pt>
                <c:pt idx="1">
                  <c:v>14234.607638461539</c:v>
                </c:pt>
                <c:pt idx="2">
                  <c:v>26952.043480729168</c:v>
                </c:pt>
                <c:pt idx="3">
                  <c:v>15307.455469711538</c:v>
                </c:pt>
                <c:pt idx="4">
                  <c:v>29171.893871354168</c:v>
                </c:pt>
              </c:numCache>
            </c:numRef>
          </c:val>
        </c:ser>
        <c:ser>
          <c:idx val="3"/>
          <c:order val="2"/>
          <c:tx>
            <c:strRef>
              <c:f>Graphs!$E$110</c:f>
              <c:strCache>
                <c:ptCount val="1"/>
                <c:pt idx="0">
                  <c:v>Fully Hosted Cloud</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Graphs!$E$111:$E$115</c:f>
              <c:numCache>
                <c:formatCode>"$"#,##0.00</c:formatCode>
                <c:ptCount val="5"/>
                <c:pt idx="0">
                  <c:v>10570</c:v>
                </c:pt>
                <c:pt idx="1">
                  <c:v>11060</c:v>
                </c:pt>
                <c:pt idx="2">
                  <c:v>22125</c:v>
                </c:pt>
                <c:pt idx="3">
                  <c:v>11760</c:v>
                </c:pt>
                <c:pt idx="4">
                  <c:v>23715</c:v>
                </c:pt>
              </c:numCache>
            </c:numRef>
          </c:val>
        </c:ser>
        <c:dLbls>
          <c:showLegendKey val="0"/>
          <c:showVal val="0"/>
          <c:showCatName val="0"/>
          <c:showSerName val="0"/>
          <c:showPercent val="0"/>
          <c:showBubbleSize val="0"/>
        </c:dLbls>
        <c:gapWidth val="75"/>
        <c:shape val="box"/>
        <c:axId val="140471296"/>
        <c:axId val="97190464"/>
        <c:axId val="0"/>
      </c:bar3DChart>
      <c:catAx>
        <c:axId val="140471296"/>
        <c:scaling>
          <c:orientation val="minMax"/>
        </c:scaling>
        <c:delete val="0"/>
        <c:axPos val="b"/>
        <c:numFmt formatCode="General" sourceLinked="0"/>
        <c:majorTickMark val="none"/>
        <c:minorTickMark val="none"/>
        <c:tickLblPos val="nextTo"/>
        <c:crossAx val="97190464"/>
        <c:crosses val="autoZero"/>
        <c:auto val="1"/>
        <c:lblAlgn val="ctr"/>
        <c:lblOffset val="100"/>
        <c:noMultiLvlLbl val="0"/>
      </c:catAx>
      <c:valAx>
        <c:axId val="97190464"/>
        <c:scaling>
          <c:orientation val="minMax"/>
        </c:scaling>
        <c:delete val="0"/>
        <c:axPos val="l"/>
        <c:majorGridlines/>
        <c:numFmt formatCode="&quot;$&quot;#,##0.00" sourceLinked="1"/>
        <c:majorTickMark val="none"/>
        <c:minorTickMark val="none"/>
        <c:tickLblPos val="nextTo"/>
        <c:spPr>
          <a:ln w="9525">
            <a:noFill/>
          </a:ln>
        </c:spPr>
        <c:crossAx val="14047129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Implementation High User Count </a:t>
            </a:r>
            <a:r>
              <a:rPr lang="en-US" sz="1800" b="1" i="0" u="none" strike="noStrike" baseline="0">
                <a:effectLst/>
              </a:rPr>
              <a:t>(Enterprise Licensing)</a:t>
            </a:r>
            <a:endParaRPr lang="en-US"/>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strRef>
              <c:f>Graphs!$C$110</c:f>
              <c:strCache>
                <c:ptCount val="1"/>
                <c:pt idx="0">
                  <c:v>Office 365 (SP Online Plan 2)</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Graphs!$G$111:$G$115</c:f>
              <c:numCache>
                <c:formatCode>"$"#,##0.00</c:formatCode>
                <c:ptCount val="5"/>
                <c:pt idx="0">
                  <c:v>4000</c:v>
                </c:pt>
                <c:pt idx="1">
                  <c:v>8000</c:v>
                </c:pt>
                <c:pt idx="2">
                  <c:v>16000</c:v>
                </c:pt>
                <c:pt idx="3">
                  <c:v>8000</c:v>
                </c:pt>
                <c:pt idx="4">
                  <c:v>16000</c:v>
                </c:pt>
              </c:numCache>
            </c:numRef>
          </c:val>
        </c:ser>
        <c:ser>
          <c:idx val="2"/>
          <c:order val="1"/>
          <c:tx>
            <c:strRef>
              <c:f>Graphs!$D$110</c:f>
              <c:strCache>
                <c:ptCount val="1"/>
                <c:pt idx="0">
                  <c:v>On Premises</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Graphs!$H$111:$H$115</c:f>
              <c:numCache>
                <c:formatCode>"$"#,##0.00</c:formatCode>
                <c:ptCount val="5"/>
                <c:pt idx="0">
                  <c:v>92946.269358173071</c:v>
                </c:pt>
                <c:pt idx="1">
                  <c:v>183334.60763846154</c:v>
                </c:pt>
                <c:pt idx="2">
                  <c:v>365152.04348072916</c:v>
                </c:pt>
                <c:pt idx="3">
                  <c:v>184407.45546971154</c:v>
                </c:pt>
                <c:pt idx="4">
                  <c:v>367371.89387135417</c:v>
                </c:pt>
              </c:numCache>
            </c:numRef>
          </c:val>
        </c:ser>
        <c:ser>
          <c:idx val="3"/>
          <c:order val="2"/>
          <c:tx>
            <c:strRef>
              <c:f>Graphs!$E$110</c:f>
              <c:strCache>
                <c:ptCount val="1"/>
                <c:pt idx="0">
                  <c:v>Fully Hosted Cloud</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Graphs!$I$111:$I$115</c:f>
              <c:numCache>
                <c:formatCode>"$"#,##0.00</c:formatCode>
                <c:ptCount val="5"/>
                <c:pt idx="0">
                  <c:v>90670</c:v>
                </c:pt>
                <c:pt idx="1">
                  <c:v>180160</c:v>
                </c:pt>
                <c:pt idx="2">
                  <c:v>360325</c:v>
                </c:pt>
                <c:pt idx="3">
                  <c:v>180860</c:v>
                </c:pt>
                <c:pt idx="4">
                  <c:v>361915</c:v>
                </c:pt>
              </c:numCache>
            </c:numRef>
          </c:val>
        </c:ser>
        <c:dLbls>
          <c:showLegendKey val="0"/>
          <c:showVal val="0"/>
          <c:showCatName val="0"/>
          <c:showSerName val="0"/>
          <c:showPercent val="0"/>
          <c:showBubbleSize val="0"/>
        </c:dLbls>
        <c:gapWidth val="75"/>
        <c:shape val="box"/>
        <c:axId val="140471808"/>
        <c:axId val="97192768"/>
        <c:axId val="0"/>
      </c:bar3DChart>
      <c:catAx>
        <c:axId val="140471808"/>
        <c:scaling>
          <c:orientation val="minMax"/>
        </c:scaling>
        <c:delete val="0"/>
        <c:axPos val="b"/>
        <c:numFmt formatCode="General" sourceLinked="0"/>
        <c:majorTickMark val="none"/>
        <c:minorTickMark val="none"/>
        <c:tickLblPos val="nextTo"/>
        <c:crossAx val="97192768"/>
        <c:crosses val="autoZero"/>
        <c:auto val="1"/>
        <c:lblAlgn val="ctr"/>
        <c:lblOffset val="100"/>
        <c:noMultiLvlLbl val="0"/>
      </c:catAx>
      <c:valAx>
        <c:axId val="97192768"/>
        <c:scaling>
          <c:orientation val="minMax"/>
        </c:scaling>
        <c:delete val="0"/>
        <c:axPos val="l"/>
        <c:majorGridlines/>
        <c:numFmt formatCode="&quot;$&quot;#,##0.00" sourceLinked="1"/>
        <c:majorTickMark val="none"/>
        <c:minorTickMark val="none"/>
        <c:tickLblPos val="nextTo"/>
        <c:crossAx val="14047180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Year 1 Low User Count </a:t>
            </a:r>
            <a:br>
              <a:rPr lang="en-US"/>
            </a:br>
            <a:r>
              <a:rPr lang="en-US" sz="1800" b="1" i="0" baseline="0">
                <a:effectLst/>
              </a:rPr>
              <a:t>(Enterprise Licensing)</a:t>
            </a:r>
            <a:endParaRPr lang="en-US">
              <a:effectLst/>
            </a:endParaRP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2"/>
          <c:order val="0"/>
          <c:tx>
            <c:strRef>
              <c:f>Graphs!$C$118</c:f>
              <c:strCache>
                <c:ptCount val="1"/>
                <c:pt idx="0">
                  <c:v>Office 365 (SP Online Plan 2)</c:v>
                </c:pt>
              </c:strCache>
            </c:strRef>
          </c:tx>
          <c:spPr>
            <a:solidFill>
              <a:schemeClr val="accent2"/>
            </a:solidFill>
          </c:spPr>
          <c:invertIfNegative val="0"/>
          <c:cat>
            <c:strRef>
              <c:f>Graphs!$A$119:$A$123</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Graphs!$C$119:$C$123</c:f>
              <c:numCache>
                <c:formatCode>"$"#,##0.00</c:formatCode>
                <c:ptCount val="5"/>
                <c:pt idx="0">
                  <c:v>4800</c:v>
                </c:pt>
                <c:pt idx="1">
                  <c:v>4800</c:v>
                </c:pt>
                <c:pt idx="2">
                  <c:v>9600</c:v>
                </c:pt>
                <c:pt idx="3">
                  <c:v>4800</c:v>
                </c:pt>
                <c:pt idx="4">
                  <c:v>9600</c:v>
                </c:pt>
              </c:numCache>
            </c:numRef>
          </c:val>
        </c:ser>
        <c:ser>
          <c:idx val="3"/>
          <c:order val="1"/>
          <c:tx>
            <c:strRef>
              <c:f>Graphs!$D$118</c:f>
              <c:strCache>
                <c:ptCount val="1"/>
                <c:pt idx="0">
                  <c:v>On Premises</c:v>
                </c:pt>
              </c:strCache>
            </c:strRef>
          </c:tx>
          <c:spPr>
            <a:solidFill>
              <a:schemeClr val="accent3"/>
            </a:solidFill>
          </c:spPr>
          <c:invertIfNegative val="0"/>
          <c:cat>
            <c:strRef>
              <c:f>Graphs!$A$119:$A$123</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Graphs!$D$119:$D$123</c:f>
              <c:numCache>
                <c:formatCode>"$"#,##0.00</c:formatCode>
                <c:ptCount val="5"/>
                <c:pt idx="0">
                  <c:v>29160.411692307694</c:v>
                </c:pt>
                <c:pt idx="1">
                  <c:v>38882.444461538456</c:v>
                </c:pt>
                <c:pt idx="2">
                  <c:v>59394.12466666667</c:v>
                </c:pt>
                <c:pt idx="3">
                  <c:v>44012.403153846157</c:v>
                </c:pt>
                <c:pt idx="4">
                  <c:v>69743.176666666666</c:v>
                </c:pt>
              </c:numCache>
            </c:numRef>
          </c:val>
        </c:ser>
        <c:ser>
          <c:idx val="0"/>
          <c:order val="2"/>
          <c:tx>
            <c:strRef>
              <c:f>Graphs!$E$118</c:f>
              <c:strCache>
                <c:ptCount val="1"/>
                <c:pt idx="0">
                  <c:v>Fully Hosted Cloud</c:v>
                </c:pt>
              </c:strCache>
            </c:strRef>
          </c:tx>
          <c:spPr>
            <a:solidFill>
              <a:schemeClr val="accent4"/>
            </a:solidFill>
          </c:spPr>
          <c:invertIfNegative val="0"/>
          <c:cat>
            <c:strRef>
              <c:f>Graphs!$A$119:$A$123</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Graphs!$E$119:$E$123</c:f>
              <c:numCache>
                <c:formatCode>"$"#,##0.00</c:formatCode>
                <c:ptCount val="5"/>
                <c:pt idx="0">
                  <c:v>28940</c:v>
                </c:pt>
                <c:pt idx="1">
                  <c:v>34820</c:v>
                </c:pt>
                <c:pt idx="2">
                  <c:v>69700</c:v>
                </c:pt>
                <c:pt idx="3">
                  <c:v>43220</c:v>
                </c:pt>
                <c:pt idx="4">
                  <c:v>88780</c:v>
                </c:pt>
              </c:numCache>
            </c:numRef>
          </c:val>
        </c:ser>
        <c:dLbls>
          <c:showLegendKey val="0"/>
          <c:showVal val="0"/>
          <c:showCatName val="0"/>
          <c:showSerName val="0"/>
          <c:showPercent val="0"/>
          <c:showBubbleSize val="0"/>
        </c:dLbls>
        <c:gapWidth val="75"/>
        <c:shape val="box"/>
        <c:axId val="168968192"/>
        <c:axId val="97195072"/>
        <c:axId val="0"/>
      </c:bar3DChart>
      <c:catAx>
        <c:axId val="168968192"/>
        <c:scaling>
          <c:orientation val="minMax"/>
        </c:scaling>
        <c:delete val="0"/>
        <c:axPos val="b"/>
        <c:numFmt formatCode="General" sourceLinked="0"/>
        <c:majorTickMark val="none"/>
        <c:minorTickMark val="none"/>
        <c:tickLblPos val="nextTo"/>
        <c:crossAx val="97195072"/>
        <c:crosses val="autoZero"/>
        <c:auto val="1"/>
        <c:lblAlgn val="ctr"/>
        <c:lblOffset val="100"/>
        <c:noMultiLvlLbl val="0"/>
      </c:catAx>
      <c:valAx>
        <c:axId val="97195072"/>
        <c:scaling>
          <c:orientation val="minMax"/>
        </c:scaling>
        <c:delete val="0"/>
        <c:axPos val="l"/>
        <c:majorGridlines/>
        <c:numFmt formatCode="&quot;$&quot;#,##0.00" sourceLinked="1"/>
        <c:majorTickMark val="none"/>
        <c:minorTickMark val="none"/>
        <c:tickLblPos val="nextTo"/>
        <c:crossAx val="16896819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Year 1 High User Count</a:t>
            </a:r>
            <a:br>
              <a:rPr lang="en-US"/>
            </a:br>
            <a:r>
              <a:rPr lang="en-US" sz="1800" b="1" i="0" u="none" strike="noStrike" baseline="0">
                <a:effectLst/>
              </a:rPr>
              <a:t>(Enterprise Licensing)</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2"/>
          <c:order val="0"/>
          <c:tx>
            <c:strRef>
              <c:f>Graphs!$G$118</c:f>
              <c:strCache>
                <c:ptCount val="1"/>
                <c:pt idx="0">
                  <c:v>Office 365 (SP Online Plan 2) </c:v>
                </c:pt>
              </c:strCache>
            </c:strRef>
          </c:tx>
          <c:spPr>
            <a:solidFill>
              <a:schemeClr val="accent2"/>
            </a:solidFill>
          </c:spPr>
          <c:invertIfNegative val="0"/>
          <c:cat>
            <c:strRef>
              <c:f>Graphs!$A$119:$A$123</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Graphs!$G$119:$G$123</c:f>
              <c:numCache>
                <c:formatCode>"$"#,##0.00</c:formatCode>
                <c:ptCount val="5"/>
                <c:pt idx="0">
                  <c:v>48000</c:v>
                </c:pt>
                <c:pt idx="1">
                  <c:v>96000</c:v>
                </c:pt>
                <c:pt idx="2">
                  <c:v>192000</c:v>
                </c:pt>
                <c:pt idx="3">
                  <c:v>96000</c:v>
                </c:pt>
                <c:pt idx="4">
                  <c:v>192000</c:v>
                </c:pt>
              </c:numCache>
            </c:numRef>
          </c:val>
        </c:ser>
        <c:ser>
          <c:idx val="3"/>
          <c:order val="1"/>
          <c:tx>
            <c:strRef>
              <c:f>Graphs!$H$118</c:f>
              <c:strCache>
                <c:ptCount val="1"/>
                <c:pt idx="0">
                  <c:v>On Premises  </c:v>
                </c:pt>
              </c:strCache>
            </c:strRef>
          </c:tx>
          <c:spPr>
            <a:solidFill>
              <a:schemeClr val="accent3"/>
            </a:solidFill>
          </c:spPr>
          <c:invertIfNegative val="0"/>
          <c:cat>
            <c:strRef>
              <c:f>Graphs!$A$119:$A$123</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Graphs!$H$119:$H$123</c:f>
              <c:numCache>
                <c:formatCode>"$"#,##0.00</c:formatCode>
                <c:ptCount val="5"/>
                <c:pt idx="0">
                  <c:v>109260.41169230769</c:v>
                </c:pt>
                <c:pt idx="1">
                  <c:v>207982.44446153846</c:v>
                </c:pt>
                <c:pt idx="2">
                  <c:v>397594.12466666667</c:v>
                </c:pt>
                <c:pt idx="3">
                  <c:v>213112.40315384616</c:v>
                </c:pt>
                <c:pt idx="4">
                  <c:v>407943.17666666664</c:v>
                </c:pt>
              </c:numCache>
            </c:numRef>
          </c:val>
        </c:ser>
        <c:ser>
          <c:idx val="0"/>
          <c:order val="2"/>
          <c:tx>
            <c:strRef>
              <c:f>Graphs!$I$118</c:f>
              <c:strCache>
                <c:ptCount val="1"/>
                <c:pt idx="0">
                  <c:v>Fully Hosted Cloud  </c:v>
                </c:pt>
              </c:strCache>
            </c:strRef>
          </c:tx>
          <c:spPr>
            <a:solidFill>
              <a:schemeClr val="accent4"/>
            </a:solidFill>
          </c:spPr>
          <c:invertIfNegative val="0"/>
          <c:cat>
            <c:strRef>
              <c:f>Graphs!$A$119:$A$123</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Graphs!$I$119:$I$123</c:f>
              <c:numCache>
                <c:formatCode>"$"#,##0.00</c:formatCode>
                <c:ptCount val="5"/>
                <c:pt idx="0">
                  <c:v>109040</c:v>
                </c:pt>
                <c:pt idx="1">
                  <c:v>203920</c:v>
                </c:pt>
                <c:pt idx="2">
                  <c:v>407900</c:v>
                </c:pt>
                <c:pt idx="3">
                  <c:v>212320</c:v>
                </c:pt>
                <c:pt idx="4">
                  <c:v>426980</c:v>
                </c:pt>
              </c:numCache>
            </c:numRef>
          </c:val>
        </c:ser>
        <c:dLbls>
          <c:showLegendKey val="0"/>
          <c:showVal val="0"/>
          <c:showCatName val="0"/>
          <c:showSerName val="0"/>
          <c:showPercent val="0"/>
          <c:showBubbleSize val="0"/>
        </c:dLbls>
        <c:gapWidth val="75"/>
        <c:shape val="box"/>
        <c:axId val="168968704"/>
        <c:axId val="97197376"/>
        <c:axId val="0"/>
      </c:bar3DChart>
      <c:catAx>
        <c:axId val="168968704"/>
        <c:scaling>
          <c:orientation val="minMax"/>
        </c:scaling>
        <c:delete val="0"/>
        <c:axPos val="b"/>
        <c:numFmt formatCode="General" sourceLinked="0"/>
        <c:majorTickMark val="none"/>
        <c:minorTickMark val="none"/>
        <c:tickLblPos val="nextTo"/>
        <c:crossAx val="97197376"/>
        <c:crosses val="autoZero"/>
        <c:auto val="1"/>
        <c:lblAlgn val="ctr"/>
        <c:lblOffset val="100"/>
        <c:noMultiLvlLbl val="0"/>
      </c:catAx>
      <c:valAx>
        <c:axId val="97197376"/>
        <c:scaling>
          <c:orientation val="minMax"/>
        </c:scaling>
        <c:delete val="0"/>
        <c:axPos val="l"/>
        <c:majorGridlines/>
        <c:numFmt formatCode="&quot;$&quot;#,##0.00" sourceLinked="1"/>
        <c:majorTickMark val="none"/>
        <c:minorTickMark val="none"/>
        <c:tickLblPos val="nextTo"/>
        <c:spPr>
          <a:ln w="9525">
            <a:noFill/>
          </a:ln>
        </c:spPr>
        <c:crossAx val="16896870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Year 2 Low User Count</a:t>
            </a:r>
            <a:br>
              <a:rPr lang="en-US"/>
            </a:br>
            <a:r>
              <a:rPr lang="en-US" sz="1800" b="1" i="0" u="none" strike="noStrike" baseline="0">
                <a:effectLst/>
              </a:rPr>
              <a:t>(Enterprise Licensing)</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2"/>
          <c:order val="0"/>
          <c:tx>
            <c:strRef>
              <c:f>Graphs!$C$126</c:f>
              <c:strCache>
                <c:ptCount val="1"/>
                <c:pt idx="0">
                  <c:v>Office 365 (SP Online Plan 2)</c:v>
                </c:pt>
              </c:strCache>
            </c:strRef>
          </c:tx>
          <c:spPr>
            <a:solidFill>
              <a:schemeClr val="accent2"/>
            </a:solidFill>
          </c:spPr>
          <c:invertIfNegative val="0"/>
          <c:cat>
            <c:strRef>
              <c:f>Graphs!$A$127:$A$131</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Graphs!$C$127:$C$131</c:f>
              <c:numCache>
                <c:formatCode>"$"#,##0.00</c:formatCode>
                <c:ptCount val="5"/>
                <c:pt idx="0">
                  <c:v>4800</c:v>
                </c:pt>
                <c:pt idx="1">
                  <c:v>4800</c:v>
                </c:pt>
                <c:pt idx="2">
                  <c:v>9600</c:v>
                </c:pt>
                <c:pt idx="3">
                  <c:v>4800</c:v>
                </c:pt>
                <c:pt idx="4">
                  <c:v>9600</c:v>
                </c:pt>
              </c:numCache>
            </c:numRef>
          </c:val>
        </c:ser>
        <c:ser>
          <c:idx val="3"/>
          <c:order val="1"/>
          <c:tx>
            <c:strRef>
              <c:f>Graphs!$D$126</c:f>
              <c:strCache>
                <c:ptCount val="1"/>
                <c:pt idx="0">
                  <c:v>On Premises</c:v>
                </c:pt>
              </c:strCache>
            </c:strRef>
          </c:tx>
          <c:spPr>
            <a:solidFill>
              <a:schemeClr val="accent3"/>
            </a:solidFill>
          </c:spPr>
          <c:invertIfNegative val="0"/>
          <c:cat>
            <c:strRef>
              <c:f>Graphs!$A$127:$A$131</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Graphs!$D$127:$D$131</c:f>
              <c:numCache>
                <c:formatCode>"$"#,##0.00</c:formatCode>
                <c:ptCount val="5"/>
                <c:pt idx="0">
                  <c:v>17390.604000000003</c:v>
                </c:pt>
                <c:pt idx="1">
                  <c:v>26085.905999999999</c:v>
                </c:pt>
                <c:pt idx="2">
                  <c:v>34781.208000000006</c:v>
                </c:pt>
                <c:pt idx="3">
                  <c:v>30433.557000000001</c:v>
                </c:pt>
                <c:pt idx="4">
                  <c:v>43476.51</c:v>
                </c:pt>
              </c:numCache>
            </c:numRef>
          </c:val>
        </c:ser>
        <c:ser>
          <c:idx val="0"/>
          <c:order val="2"/>
          <c:tx>
            <c:strRef>
              <c:f>Graphs!$E$126</c:f>
              <c:strCache>
                <c:ptCount val="1"/>
                <c:pt idx="0">
                  <c:v>Fully Hosted Cloud</c:v>
                </c:pt>
              </c:strCache>
            </c:strRef>
          </c:tx>
          <c:spPr>
            <a:solidFill>
              <a:schemeClr val="accent4"/>
            </a:solidFill>
          </c:spPr>
          <c:invertIfNegative val="0"/>
          <c:cat>
            <c:strRef>
              <c:f>Graphs!$A$127:$A$131</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Graphs!$E$127:$E$131</c:f>
              <c:numCache>
                <c:formatCode>"$"#,##0.00</c:formatCode>
                <c:ptCount val="5"/>
                <c:pt idx="0">
                  <c:v>20040</c:v>
                </c:pt>
                <c:pt idx="1">
                  <c:v>25920</c:v>
                </c:pt>
                <c:pt idx="2">
                  <c:v>51900</c:v>
                </c:pt>
                <c:pt idx="3">
                  <c:v>34320</c:v>
                </c:pt>
                <c:pt idx="4">
                  <c:v>70980</c:v>
                </c:pt>
              </c:numCache>
            </c:numRef>
          </c:val>
        </c:ser>
        <c:dLbls>
          <c:showLegendKey val="0"/>
          <c:showVal val="0"/>
          <c:showCatName val="0"/>
          <c:showSerName val="0"/>
          <c:showPercent val="0"/>
          <c:showBubbleSize val="0"/>
        </c:dLbls>
        <c:gapWidth val="75"/>
        <c:shape val="box"/>
        <c:axId val="168969216"/>
        <c:axId val="97420992"/>
        <c:axId val="0"/>
      </c:bar3DChart>
      <c:catAx>
        <c:axId val="168969216"/>
        <c:scaling>
          <c:orientation val="minMax"/>
        </c:scaling>
        <c:delete val="0"/>
        <c:axPos val="b"/>
        <c:numFmt formatCode="General" sourceLinked="0"/>
        <c:majorTickMark val="none"/>
        <c:minorTickMark val="none"/>
        <c:tickLblPos val="nextTo"/>
        <c:crossAx val="97420992"/>
        <c:crosses val="autoZero"/>
        <c:auto val="1"/>
        <c:lblAlgn val="ctr"/>
        <c:lblOffset val="100"/>
        <c:noMultiLvlLbl val="0"/>
      </c:catAx>
      <c:valAx>
        <c:axId val="97420992"/>
        <c:scaling>
          <c:orientation val="minMax"/>
        </c:scaling>
        <c:delete val="0"/>
        <c:axPos val="l"/>
        <c:majorGridlines/>
        <c:numFmt formatCode="&quot;$&quot;#,##0.00" sourceLinked="1"/>
        <c:majorTickMark val="none"/>
        <c:minorTickMark val="none"/>
        <c:tickLblPos val="nextTo"/>
        <c:spPr>
          <a:ln w="9525">
            <a:noFill/>
          </a:ln>
        </c:spPr>
        <c:crossAx val="16896921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Year 2 High User Count</a:t>
            </a:r>
            <a:br>
              <a:rPr lang="en-US"/>
            </a:br>
            <a:r>
              <a:rPr lang="en-US" sz="1800" b="1" i="0" u="none" strike="noStrike" baseline="0">
                <a:effectLst/>
              </a:rPr>
              <a:t>(Enterprise Licensing)</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2"/>
          <c:order val="0"/>
          <c:tx>
            <c:strRef>
              <c:f>Graphs!$G$126</c:f>
              <c:strCache>
                <c:ptCount val="1"/>
                <c:pt idx="0">
                  <c:v>Office 365 (SP Online Plan 2) </c:v>
                </c:pt>
              </c:strCache>
            </c:strRef>
          </c:tx>
          <c:spPr>
            <a:solidFill>
              <a:schemeClr val="accent2"/>
            </a:solidFill>
          </c:spPr>
          <c:invertIfNegative val="0"/>
          <c:cat>
            <c:strRef>
              <c:f>Graphs!$A$127:$A$131</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Graphs!$G$127:$G$131</c:f>
              <c:numCache>
                <c:formatCode>"$"#,##0.00</c:formatCode>
                <c:ptCount val="5"/>
                <c:pt idx="0">
                  <c:v>48000</c:v>
                </c:pt>
                <c:pt idx="1">
                  <c:v>96000</c:v>
                </c:pt>
                <c:pt idx="2">
                  <c:v>192000</c:v>
                </c:pt>
                <c:pt idx="3">
                  <c:v>96000</c:v>
                </c:pt>
                <c:pt idx="4">
                  <c:v>192000</c:v>
                </c:pt>
              </c:numCache>
            </c:numRef>
          </c:val>
        </c:ser>
        <c:ser>
          <c:idx val="3"/>
          <c:order val="1"/>
          <c:tx>
            <c:strRef>
              <c:f>Graphs!$H$126</c:f>
              <c:strCache>
                <c:ptCount val="1"/>
                <c:pt idx="0">
                  <c:v>On Premises </c:v>
                </c:pt>
              </c:strCache>
            </c:strRef>
          </c:tx>
          <c:spPr>
            <a:solidFill>
              <a:schemeClr val="accent3"/>
            </a:solidFill>
          </c:spPr>
          <c:invertIfNegative val="0"/>
          <c:cat>
            <c:strRef>
              <c:f>Graphs!$A$127:$A$131</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Graphs!$H$127:$H$131</c:f>
              <c:numCache>
                <c:formatCode>"$"#,##0.00</c:formatCode>
                <c:ptCount val="5"/>
                <c:pt idx="0">
                  <c:v>17390.604000000003</c:v>
                </c:pt>
                <c:pt idx="1">
                  <c:v>26085.905999999999</c:v>
                </c:pt>
                <c:pt idx="2">
                  <c:v>34781.208000000006</c:v>
                </c:pt>
                <c:pt idx="3">
                  <c:v>30433.557000000001</c:v>
                </c:pt>
                <c:pt idx="4">
                  <c:v>43476.51</c:v>
                </c:pt>
              </c:numCache>
            </c:numRef>
          </c:val>
        </c:ser>
        <c:ser>
          <c:idx val="0"/>
          <c:order val="2"/>
          <c:tx>
            <c:strRef>
              <c:f>Graphs!$I$126</c:f>
              <c:strCache>
                <c:ptCount val="1"/>
                <c:pt idx="0">
                  <c:v>Fully Hosted Cloud   </c:v>
                </c:pt>
              </c:strCache>
            </c:strRef>
          </c:tx>
          <c:spPr>
            <a:solidFill>
              <a:schemeClr val="accent4"/>
            </a:solidFill>
          </c:spPr>
          <c:invertIfNegative val="0"/>
          <c:cat>
            <c:strRef>
              <c:f>Graphs!$A$127:$A$131</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Graphs!$I$127:$I$131</c:f>
              <c:numCache>
                <c:formatCode>"$"#,##0.00</c:formatCode>
                <c:ptCount val="5"/>
                <c:pt idx="0">
                  <c:v>20040</c:v>
                </c:pt>
                <c:pt idx="1">
                  <c:v>25920</c:v>
                </c:pt>
                <c:pt idx="2">
                  <c:v>51900</c:v>
                </c:pt>
                <c:pt idx="3">
                  <c:v>34320</c:v>
                </c:pt>
                <c:pt idx="4">
                  <c:v>70980</c:v>
                </c:pt>
              </c:numCache>
            </c:numRef>
          </c:val>
        </c:ser>
        <c:dLbls>
          <c:showLegendKey val="0"/>
          <c:showVal val="0"/>
          <c:showCatName val="0"/>
          <c:showSerName val="0"/>
          <c:showPercent val="0"/>
          <c:showBubbleSize val="0"/>
        </c:dLbls>
        <c:gapWidth val="75"/>
        <c:shape val="box"/>
        <c:axId val="168969728"/>
        <c:axId val="97423296"/>
        <c:axId val="0"/>
      </c:bar3DChart>
      <c:catAx>
        <c:axId val="168969728"/>
        <c:scaling>
          <c:orientation val="minMax"/>
        </c:scaling>
        <c:delete val="0"/>
        <c:axPos val="b"/>
        <c:numFmt formatCode="General" sourceLinked="0"/>
        <c:majorTickMark val="none"/>
        <c:minorTickMark val="none"/>
        <c:tickLblPos val="nextTo"/>
        <c:crossAx val="97423296"/>
        <c:crosses val="autoZero"/>
        <c:auto val="1"/>
        <c:lblAlgn val="ctr"/>
        <c:lblOffset val="100"/>
        <c:noMultiLvlLbl val="0"/>
      </c:catAx>
      <c:valAx>
        <c:axId val="97423296"/>
        <c:scaling>
          <c:orientation val="minMax"/>
        </c:scaling>
        <c:delete val="0"/>
        <c:axPos val="l"/>
        <c:majorGridlines/>
        <c:numFmt formatCode="&quot;$&quot;#,##0.00" sourceLinked="1"/>
        <c:majorTickMark val="none"/>
        <c:minorTickMark val="none"/>
        <c:tickLblPos val="nextTo"/>
        <c:spPr>
          <a:ln w="9525">
            <a:noFill/>
          </a:ln>
        </c:spPr>
        <c:crossAx val="16896972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Start Up Costs w/ Licensing</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2"/>
          <c:order val="0"/>
          <c:tx>
            <c:v>On Premises Cost</c:v>
          </c:tx>
          <c:invertIfNegative val="0"/>
          <c:dLbls>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Graphs!$B$22:$B$26</c:f>
              <c:numCache>
                <c:formatCode>"$"#,##0.00</c:formatCode>
                <c:ptCount val="5"/>
                <c:pt idx="0">
                  <c:v>9598.2693581730764</c:v>
                </c:pt>
                <c:pt idx="1">
                  <c:v>18883.607638461537</c:v>
                </c:pt>
                <c:pt idx="2">
                  <c:v>36250.043480729168</c:v>
                </c:pt>
                <c:pt idx="3">
                  <c:v>25608.455469711538</c:v>
                </c:pt>
                <c:pt idx="4">
                  <c:v>49773.893871354172</c:v>
                </c:pt>
              </c:numCache>
            </c:numRef>
          </c:val>
        </c:ser>
        <c:ser>
          <c:idx val="3"/>
          <c:order val="1"/>
          <c:tx>
            <c:v>Fully Hosted Cloud</c:v>
          </c:tx>
          <c:invertIfNegative val="0"/>
          <c:dLbls>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Graphs!$K$6:$K$10</c:f>
              <c:numCache>
                <c:formatCode>"$"#,##0.00</c:formatCode>
                <c:ptCount val="5"/>
                <c:pt idx="0">
                  <c:v>1670</c:v>
                </c:pt>
                <c:pt idx="1">
                  <c:v>2160</c:v>
                </c:pt>
                <c:pt idx="2">
                  <c:v>4325</c:v>
                </c:pt>
                <c:pt idx="3">
                  <c:v>2860</c:v>
                </c:pt>
                <c:pt idx="4">
                  <c:v>5915</c:v>
                </c:pt>
              </c:numCache>
            </c:numRef>
          </c:val>
        </c:ser>
        <c:dLbls>
          <c:showLegendKey val="0"/>
          <c:showVal val="1"/>
          <c:showCatName val="0"/>
          <c:showSerName val="0"/>
          <c:showPercent val="0"/>
          <c:showBubbleSize val="0"/>
        </c:dLbls>
        <c:gapWidth val="75"/>
        <c:shape val="box"/>
        <c:axId val="110711808"/>
        <c:axId val="97425600"/>
        <c:axId val="0"/>
      </c:bar3DChart>
      <c:catAx>
        <c:axId val="110711808"/>
        <c:scaling>
          <c:orientation val="minMax"/>
        </c:scaling>
        <c:delete val="0"/>
        <c:axPos val="b"/>
        <c:numFmt formatCode="General" sourceLinked="0"/>
        <c:majorTickMark val="none"/>
        <c:minorTickMark val="none"/>
        <c:tickLblPos val="nextTo"/>
        <c:crossAx val="97425600"/>
        <c:crosses val="autoZero"/>
        <c:auto val="1"/>
        <c:lblAlgn val="ctr"/>
        <c:lblOffset val="100"/>
        <c:noMultiLvlLbl val="0"/>
      </c:catAx>
      <c:valAx>
        <c:axId val="97425600"/>
        <c:scaling>
          <c:orientation val="minMax"/>
        </c:scaling>
        <c:delete val="0"/>
        <c:axPos val="l"/>
        <c:majorGridlines/>
        <c:numFmt formatCode="&quot;$&quot;#,##0.00" sourceLinked="1"/>
        <c:majorTickMark val="none"/>
        <c:minorTickMark val="none"/>
        <c:tickLblPos val="nextTo"/>
        <c:crossAx val="11071180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On Premises (w/</a:t>
            </a:r>
            <a:r>
              <a:rPr lang="en-US" baseline="0"/>
              <a:t> Internal Salaries + Professional Services + Licensing) </a:t>
            </a:r>
            <a:r>
              <a:rPr lang="en-US"/>
              <a:t>vs FPWeb </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2"/>
          <c:order val="0"/>
          <c:tx>
            <c:v>On Premises Cost</c:v>
          </c:tx>
          <c:invertIfNegative val="0"/>
          <c:dLbls>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Graphs!$C$22:$C$26</c:f>
              <c:numCache>
                <c:formatCode>"$"#,##0.00</c:formatCode>
                <c:ptCount val="5"/>
                <c:pt idx="0">
                  <c:v>25912.411692307694</c:v>
                </c:pt>
                <c:pt idx="1">
                  <c:v>43531.444461538456</c:v>
                </c:pt>
                <c:pt idx="2">
                  <c:v>68692.12466666667</c:v>
                </c:pt>
                <c:pt idx="3">
                  <c:v>54313.403153846157</c:v>
                </c:pt>
                <c:pt idx="4">
                  <c:v>90345.176666666666</c:v>
                </c:pt>
              </c:numCache>
            </c:numRef>
          </c:val>
        </c:ser>
        <c:ser>
          <c:idx val="3"/>
          <c:order val="1"/>
          <c:tx>
            <c:v>Fully Hosted Cloud</c:v>
          </c:tx>
          <c:invertIfNegative val="0"/>
          <c:dLbls>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Graphs!$L$6:$L$10</c:f>
              <c:numCache>
                <c:formatCode>"$"#,##0.00</c:formatCode>
                <c:ptCount val="5"/>
                <c:pt idx="0">
                  <c:v>20040</c:v>
                </c:pt>
                <c:pt idx="1">
                  <c:v>25920</c:v>
                </c:pt>
                <c:pt idx="2">
                  <c:v>51900</c:v>
                </c:pt>
                <c:pt idx="3">
                  <c:v>34320</c:v>
                </c:pt>
                <c:pt idx="4">
                  <c:v>70980</c:v>
                </c:pt>
              </c:numCache>
            </c:numRef>
          </c:val>
        </c:ser>
        <c:dLbls>
          <c:showLegendKey val="0"/>
          <c:showVal val="1"/>
          <c:showCatName val="0"/>
          <c:showSerName val="0"/>
          <c:showPercent val="0"/>
          <c:showBubbleSize val="0"/>
        </c:dLbls>
        <c:gapWidth val="75"/>
        <c:shape val="box"/>
        <c:axId val="168970752"/>
        <c:axId val="111484928"/>
        <c:axId val="0"/>
      </c:bar3DChart>
      <c:catAx>
        <c:axId val="168970752"/>
        <c:scaling>
          <c:orientation val="minMax"/>
        </c:scaling>
        <c:delete val="0"/>
        <c:axPos val="b"/>
        <c:numFmt formatCode="General" sourceLinked="0"/>
        <c:majorTickMark val="none"/>
        <c:minorTickMark val="none"/>
        <c:tickLblPos val="nextTo"/>
        <c:crossAx val="111484928"/>
        <c:crosses val="autoZero"/>
        <c:auto val="1"/>
        <c:lblAlgn val="ctr"/>
        <c:lblOffset val="100"/>
        <c:noMultiLvlLbl val="0"/>
      </c:catAx>
      <c:valAx>
        <c:axId val="111484928"/>
        <c:scaling>
          <c:orientation val="minMax"/>
        </c:scaling>
        <c:delete val="0"/>
        <c:axPos val="l"/>
        <c:majorGridlines/>
        <c:numFmt formatCode="&quot;$&quot;#,##0.00" sourceLinked="1"/>
        <c:majorTickMark val="none"/>
        <c:minorTickMark val="none"/>
        <c:tickLblPos val="nextTo"/>
        <c:crossAx val="16897075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SharePoint</a:t>
            </a:r>
            <a:r>
              <a:rPr lang="en-US" baseline="0"/>
              <a:t> - </a:t>
            </a:r>
            <a:r>
              <a:rPr lang="en-US"/>
              <a:t>Small Farm (Two</a:t>
            </a:r>
            <a:r>
              <a:rPr lang="en-US" baseline="0"/>
              <a:t> Server Install (WFE &amp; SQL)</a:t>
            </a:r>
            <a:endParaRPr lang="en-US"/>
          </a:p>
        </c:rich>
      </c:tx>
      <c:layout/>
      <c:overlay val="0"/>
    </c:title>
    <c:autoTitleDeleted val="0"/>
    <c:plotArea>
      <c:layout/>
      <c:lineChart>
        <c:grouping val="standard"/>
        <c:varyColors val="0"/>
        <c:ser>
          <c:idx val="0"/>
          <c:order val="0"/>
          <c:tx>
            <c:v>Low Estimates</c:v>
          </c:tx>
          <c:marker>
            <c:symbol val="none"/>
          </c:marker>
          <c:cat>
            <c:strRef>
              <c:f>'Professional Service Estimates'!$G$18:$G$30</c:f>
              <c:strCache>
                <c:ptCount val="13"/>
                <c:pt idx="0">
                  <c:v>Firm A</c:v>
                </c:pt>
                <c:pt idx="1">
                  <c:v>Firm B</c:v>
                </c:pt>
                <c:pt idx="2">
                  <c:v>Firm C</c:v>
                </c:pt>
                <c:pt idx="3">
                  <c:v>Firm D</c:v>
                </c:pt>
                <c:pt idx="4">
                  <c:v>Firm E</c:v>
                </c:pt>
                <c:pt idx="5">
                  <c:v>Firm F</c:v>
                </c:pt>
                <c:pt idx="6">
                  <c:v>Firm G</c:v>
                </c:pt>
                <c:pt idx="7">
                  <c:v>Firm H</c:v>
                </c:pt>
                <c:pt idx="8">
                  <c:v>Firm I</c:v>
                </c:pt>
                <c:pt idx="9">
                  <c:v>Firm J</c:v>
                </c:pt>
                <c:pt idx="10">
                  <c:v>Firm K</c:v>
                </c:pt>
                <c:pt idx="11">
                  <c:v>Firm L</c:v>
                </c:pt>
                <c:pt idx="12">
                  <c:v>Firm M</c:v>
                </c:pt>
              </c:strCache>
            </c:strRef>
          </c:cat>
          <c:val>
            <c:numRef>
              <c:f>'Professional Service Estimates'!$E$36:$E$48</c:f>
              <c:numCache>
                <c:formatCode>"$"#,##0.00</c:formatCode>
                <c:ptCount val="13"/>
                <c:pt idx="0">
                  <c:v>1800</c:v>
                </c:pt>
                <c:pt idx="1">
                  <c:v>2160</c:v>
                </c:pt>
                <c:pt idx="2">
                  <c:v>2400</c:v>
                </c:pt>
                <c:pt idx="3">
                  <c:v>4620</c:v>
                </c:pt>
                <c:pt idx="4">
                  <c:v>4800</c:v>
                </c:pt>
                <c:pt idx="5">
                  <c:v>2800</c:v>
                </c:pt>
                <c:pt idx="6">
                  <c:v>4800</c:v>
                </c:pt>
                <c:pt idx="7">
                  <c:v>2160</c:v>
                </c:pt>
                <c:pt idx="8">
                  <c:v>5280</c:v>
                </c:pt>
                <c:pt idx="9">
                  <c:v>3330</c:v>
                </c:pt>
                <c:pt idx="10">
                  <c:v>3000</c:v>
                </c:pt>
                <c:pt idx="11">
                  <c:v>1200</c:v>
                </c:pt>
                <c:pt idx="12">
                  <c:v>3200</c:v>
                </c:pt>
              </c:numCache>
            </c:numRef>
          </c:val>
          <c:smooth val="0"/>
        </c:ser>
        <c:ser>
          <c:idx val="1"/>
          <c:order val="1"/>
          <c:tx>
            <c:v>High Estimates</c:v>
          </c:tx>
          <c:marker>
            <c:symbol val="none"/>
          </c:marker>
          <c:val>
            <c:numRef>
              <c:f>'Professional Service Estimates'!$F$36:$F$48</c:f>
              <c:numCache>
                <c:formatCode>"$"#,##0.00</c:formatCode>
                <c:ptCount val="13"/>
                <c:pt idx="0">
                  <c:v>2700</c:v>
                </c:pt>
                <c:pt idx="1">
                  <c:v>3120</c:v>
                </c:pt>
                <c:pt idx="2">
                  <c:v>6000</c:v>
                </c:pt>
                <c:pt idx="3">
                  <c:v>6600</c:v>
                </c:pt>
                <c:pt idx="4">
                  <c:v>6000</c:v>
                </c:pt>
                <c:pt idx="5">
                  <c:v>4900</c:v>
                </c:pt>
                <c:pt idx="6">
                  <c:v>6000</c:v>
                </c:pt>
                <c:pt idx="7">
                  <c:v>4320</c:v>
                </c:pt>
                <c:pt idx="8">
                  <c:v>5280</c:v>
                </c:pt>
                <c:pt idx="9">
                  <c:v>4440</c:v>
                </c:pt>
                <c:pt idx="10">
                  <c:v>3600</c:v>
                </c:pt>
                <c:pt idx="11">
                  <c:v>2000</c:v>
                </c:pt>
                <c:pt idx="12">
                  <c:v>4800</c:v>
                </c:pt>
              </c:numCache>
            </c:numRef>
          </c:val>
          <c:smooth val="0"/>
        </c:ser>
        <c:dLbls>
          <c:showLegendKey val="0"/>
          <c:showVal val="0"/>
          <c:showCatName val="0"/>
          <c:showSerName val="0"/>
          <c:showPercent val="0"/>
          <c:showBubbleSize val="0"/>
        </c:dLbls>
        <c:marker val="1"/>
        <c:smooth val="0"/>
        <c:axId val="57455616"/>
        <c:axId val="140128192"/>
      </c:lineChart>
      <c:catAx>
        <c:axId val="57455616"/>
        <c:scaling>
          <c:orientation val="minMax"/>
        </c:scaling>
        <c:delete val="0"/>
        <c:axPos val="b"/>
        <c:numFmt formatCode="General" sourceLinked="0"/>
        <c:majorTickMark val="none"/>
        <c:minorTickMark val="none"/>
        <c:tickLblPos val="nextTo"/>
        <c:crossAx val="140128192"/>
        <c:crosses val="autoZero"/>
        <c:auto val="1"/>
        <c:lblAlgn val="ctr"/>
        <c:lblOffset val="100"/>
        <c:noMultiLvlLbl val="0"/>
      </c:catAx>
      <c:valAx>
        <c:axId val="140128192"/>
        <c:scaling>
          <c:orientation val="minMax"/>
        </c:scaling>
        <c:delete val="0"/>
        <c:axPos val="l"/>
        <c:majorGridlines/>
        <c:title>
          <c:tx>
            <c:rich>
              <a:bodyPr/>
              <a:lstStyle/>
              <a:p>
                <a:pPr>
                  <a:defRPr/>
                </a:pPr>
                <a:r>
                  <a:rPr lang="en-US"/>
                  <a:t>Professional Services</a:t>
                </a:r>
              </a:p>
            </c:rich>
          </c:tx>
          <c:layout/>
          <c:overlay val="0"/>
        </c:title>
        <c:numFmt formatCode="&quot;$&quot;#,##0.00" sourceLinked="1"/>
        <c:majorTickMark val="none"/>
        <c:minorTickMark val="none"/>
        <c:tickLblPos val="nextTo"/>
        <c:crossAx val="574556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Fully Hosted Cloud - Initial Savings (w/o Hardware)</a:t>
            </a:r>
            <a:r>
              <a:rPr lang="en-US" baseline="0"/>
              <a:t> </a:t>
            </a:r>
            <a:endParaRPr lang="en-US"/>
          </a:p>
        </c:rich>
      </c:tx>
      <c:overlay val="0"/>
    </c:title>
    <c:autoTitleDeleted val="0"/>
    <c:plotArea>
      <c:layout/>
      <c:barChart>
        <c:barDir val="col"/>
        <c:grouping val="clustered"/>
        <c:varyColors val="0"/>
        <c:ser>
          <c:idx val="0"/>
          <c:order val="0"/>
          <c:tx>
            <c:v>Fully Hosted Cloud</c:v>
          </c:tx>
          <c:spPr>
            <a:solidFill>
              <a:schemeClr val="accent4"/>
            </a:solidFill>
          </c:spPr>
          <c:invertIfNegative val="0"/>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Graphs!$P$6:$P$10</c:f>
              <c:numCache>
                <c:formatCode>"$"#,##0.00</c:formatCode>
                <c:ptCount val="5"/>
                <c:pt idx="0">
                  <c:v>7928.2693581730764</c:v>
                </c:pt>
                <c:pt idx="1">
                  <c:v>16723.607638461537</c:v>
                </c:pt>
                <c:pt idx="2">
                  <c:v>31925.043480729168</c:v>
                </c:pt>
                <c:pt idx="3">
                  <c:v>22748.455469711538</c:v>
                </c:pt>
                <c:pt idx="4">
                  <c:v>43858.893871354172</c:v>
                </c:pt>
              </c:numCache>
            </c:numRef>
          </c:val>
        </c:ser>
        <c:dLbls>
          <c:showLegendKey val="0"/>
          <c:showVal val="0"/>
          <c:showCatName val="0"/>
          <c:showSerName val="0"/>
          <c:showPercent val="0"/>
          <c:showBubbleSize val="0"/>
        </c:dLbls>
        <c:gapWidth val="75"/>
        <c:overlap val="-25"/>
        <c:axId val="168971776"/>
        <c:axId val="111486656"/>
      </c:barChart>
      <c:catAx>
        <c:axId val="168971776"/>
        <c:scaling>
          <c:orientation val="minMax"/>
        </c:scaling>
        <c:delete val="0"/>
        <c:axPos val="b"/>
        <c:numFmt formatCode="General" sourceLinked="0"/>
        <c:majorTickMark val="none"/>
        <c:minorTickMark val="none"/>
        <c:tickLblPos val="nextTo"/>
        <c:crossAx val="111486656"/>
        <c:crosses val="autoZero"/>
        <c:auto val="1"/>
        <c:lblAlgn val="ctr"/>
        <c:lblOffset val="100"/>
        <c:noMultiLvlLbl val="0"/>
      </c:catAx>
      <c:valAx>
        <c:axId val="111486656"/>
        <c:scaling>
          <c:orientation val="minMax"/>
        </c:scaling>
        <c:delete val="0"/>
        <c:axPos val="l"/>
        <c:majorGridlines/>
        <c:numFmt formatCode="&quot;$&quot;#,##0.00" sourceLinked="1"/>
        <c:majorTickMark val="none"/>
        <c:minorTickMark val="none"/>
        <c:tickLblPos val="nextTo"/>
        <c:spPr>
          <a:ln w="9525">
            <a:noFill/>
          </a:ln>
        </c:spPr>
        <c:crossAx val="16897177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Start Up Costs w/ Licensing &amp; Hardware</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2"/>
          <c:order val="0"/>
          <c:tx>
            <c:v>On Premises Cost</c:v>
          </c:tx>
          <c:invertIfNegative val="0"/>
          <c:dLbls>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Graphs!$D$22:$D$26</c:f>
              <c:numCache>
                <c:formatCode>"$"#,##0.00</c:formatCode>
                <c:ptCount val="5"/>
                <c:pt idx="0">
                  <c:v>12814.036024839743</c:v>
                </c:pt>
                <c:pt idx="1">
                  <c:v>25348.474305128206</c:v>
                </c:pt>
                <c:pt idx="2">
                  <c:v>49179.776814062498</c:v>
                </c:pt>
                <c:pt idx="3">
                  <c:v>35322.422136378205</c:v>
                </c:pt>
                <c:pt idx="4">
                  <c:v>69201.827204687506</c:v>
                </c:pt>
              </c:numCache>
            </c:numRef>
          </c:val>
        </c:ser>
        <c:ser>
          <c:idx val="3"/>
          <c:order val="1"/>
          <c:tx>
            <c:v>Fully Hosted Cloud</c:v>
          </c:tx>
          <c:invertIfNegative val="0"/>
          <c:dLbls>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Graphs!$K$6:$K$10</c:f>
              <c:numCache>
                <c:formatCode>"$"#,##0.00</c:formatCode>
                <c:ptCount val="5"/>
                <c:pt idx="0">
                  <c:v>1670</c:v>
                </c:pt>
                <c:pt idx="1">
                  <c:v>2160</c:v>
                </c:pt>
                <c:pt idx="2">
                  <c:v>4325</c:v>
                </c:pt>
                <c:pt idx="3">
                  <c:v>2860</c:v>
                </c:pt>
                <c:pt idx="4">
                  <c:v>5915</c:v>
                </c:pt>
              </c:numCache>
            </c:numRef>
          </c:val>
        </c:ser>
        <c:dLbls>
          <c:showLegendKey val="0"/>
          <c:showVal val="1"/>
          <c:showCatName val="0"/>
          <c:showSerName val="0"/>
          <c:showPercent val="0"/>
          <c:showBubbleSize val="0"/>
        </c:dLbls>
        <c:gapWidth val="75"/>
        <c:shape val="box"/>
        <c:axId val="170463744"/>
        <c:axId val="111488384"/>
        <c:axId val="0"/>
      </c:bar3DChart>
      <c:catAx>
        <c:axId val="170463744"/>
        <c:scaling>
          <c:orientation val="minMax"/>
        </c:scaling>
        <c:delete val="0"/>
        <c:axPos val="b"/>
        <c:numFmt formatCode="General" sourceLinked="0"/>
        <c:majorTickMark val="none"/>
        <c:minorTickMark val="none"/>
        <c:tickLblPos val="nextTo"/>
        <c:crossAx val="111488384"/>
        <c:crosses val="autoZero"/>
        <c:auto val="1"/>
        <c:lblAlgn val="ctr"/>
        <c:lblOffset val="100"/>
        <c:noMultiLvlLbl val="0"/>
      </c:catAx>
      <c:valAx>
        <c:axId val="111488384"/>
        <c:scaling>
          <c:orientation val="minMax"/>
        </c:scaling>
        <c:delete val="0"/>
        <c:axPos val="l"/>
        <c:majorGridlines/>
        <c:numFmt formatCode="&quot;$&quot;#,##0.00" sourceLinked="1"/>
        <c:majorTickMark val="none"/>
        <c:minorTickMark val="none"/>
        <c:tickLblPos val="nextTo"/>
        <c:crossAx val="17046374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On Premises (w/</a:t>
            </a:r>
            <a:r>
              <a:rPr lang="en-US" baseline="0"/>
              <a:t> Internal Salaries + Professional Services + Licensing) </a:t>
            </a:r>
            <a:r>
              <a:rPr lang="en-US"/>
              <a:t>vs FPWeb </a:t>
            </a:r>
          </a:p>
        </c:rich>
      </c:tx>
      <c:layout>
        <c:manualLayout>
          <c:xMode val="edge"/>
          <c:yMode val="edge"/>
          <c:x val="0.22971155228137932"/>
          <c:y val="0"/>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2"/>
          <c:order val="0"/>
          <c:tx>
            <c:v>On Premises Cost</c:v>
          </c:tx>
          <c:invertIfNegative val="0"/>
          <c:dLbls>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Graphs!$E$22:$E$26</c:f>
              <c:numCache>
                <c:formatCode>"$"#,##0.00</c:formatCode>
                <c:ptCount val="5"/>
                <c:pt idx="0">
                  <c:v>29128.178358974361</c:v>
                </c:pt>
                <c:pt idx="1">
                  <c:v>49996.311128205125</c:v>
                </c:pt>
                <c:pt idx="2">
                  <c:v>81621.858000000007</c:v>
                </c:pt>
                <c:pt idx="3">
                  <c:v>64027.369820512824</c:v>
                </c:pt>
                <c:pt idx="4">
                  <c:v>109773.11</c:v>
                </c:pt>
              </c:numCache>
            </c:numRef>
          </c:val>
        </c:ser>
        <c:ser>
          <c:idx val="3"/>
          <c:order val="1"/>
          <c:tx>
            <c:v>Fully Hosted Cloud</c:v>
          </c:tx>
          <c:invertIfNegative val="0"/>
          <c:dLbls>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Graphs!$L$6:$L$10</c:f>
              <c:numCache>
                <c:formatCode>"$"#,##0.00</c:formatCode>
                <c:ptCount val="5"/>
                <c:pt idx="0">
                  <c:v>20040</c:v>
                </c:pt>
                <c:pt idx="1">
                  <c:v>25920</c:v>
                </c:pt>
                <c:pt idx="2">
                  <c:v>51900</c:v>
                </c:pt>
                <c:pt idx="3">
                  <c:v>34320</c:v>
                </c:pt>
                <c:pt idx="4">
                  <c:v>70980</c:v>
                </c:pt>
              </c:numCache>
            </c:numRef>
          </c:val>
        </c:ser>
        <c:dLbls>
          <c:showLegendKey val="0"/>
          <c:showVal val="1"/>
          <c:showCatName val="0"/>
          <c:showSerName val="0"/>
          <c:showPercent val="0"/>
          <c:showBubbleSize val="0"/>
        </c:dLbls>
        <c:gapWidth val="75"/>
        <c:shape val="box"/>
        <c:axId val="170463232"/>
        <c:axId val="111490112"/>
        <c:axId val="0"/>
      </c:bar3DChart>
      <c:catAx>
        <c:axId val="170463232"/>
        <c:scaling>
          <c:orientation val="minMax"/>
        </c:scaling>
        <c:delete val="0"/>
        <c:axPos val="b"/>
        <c:numFmt formatCode="General" sourceLinked="0"/>
        <c:majorTickMark val="none"/>
        <c:minorTickMark val="none"/>
        <c:tickLblPos val="nextTo"/>
        <c:crossAx val="111490112"/>
        <c:crosses val="autoZero"/>
        <c:auto val="1"/>
        <c:lblAlgn val="ctr"/>
        <c:lblOffset val="100"/>
        <c:noMultiLvlLbl val="0"/>
      </c:catAx>
      <c:valAx>
        <c:axId val="111490112"/>
        <c:scaling>
          <c:orientation val="minMax"/>
        </c:scaling>
        <c:delete val="0"/>
        <c:axPos val="l"/>
        <c:majorGridlines/>
        <c:numFmt formatCode="&quot;$&quot;#,##0.00" sourceLinked="1"/>
        <c:majorTickMark val="none"/>
        <c:minorTickMark val="none"/>
        <c:tickLblPos val="nextTo"/>
        <c:crossAx val="1704632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Year 1 Cost Savings for</a:t>
            </a:r>
            <a:r>
              <a:rPr lang="en-US" baseline="0"/>
              <a:t> Fully Hosted (w/o Hardware Costs)</a:t>
            </a:r>
          </a:p>
        </c:rich>
      </c:tx>
      <c:overlay val="0"/>
    </c:title>
    <c:autoTitleDeleted val="0"/>
    <c:plotArea>
      <c:layout/>
      <c:barChart>
        <c:barDir val="col"/>
        <c:grouping val="clustered"/>
        <c:varyColors val="0"/>
        <c:ser>
          <c:idx val="0"/>
          <c:order val="0"/>
          <c:tx>
            <c:v>Year 1 Savings</c:v>
          </c:tx>
          <c:spPr>
            <a:solidFill>
              <a:schemeClr val="accent4"/>
            </a:solidFill>
          </c:spPr>
          <c:invertIfNegative val="0"/>
          <c:dLbls>
            <c:spPr>
              <a:solidFill>
                <a:schemeClr val="bg1"/>
              </a:solidFill>
              <a:ln>
                <a:solidFill>
                  <a:schemeClr val="tx1"/>
                </a:solid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Graphs!$Q$6:$Q$10</c:f>
              <c:numCache>
                <c:formatCode>"$"#,##0.00</c:formatCode>
                <c:ptCount val="5"/>
                <c:pt idx="0">
                  <c:v>5652</c:v>
                </c:pt>
                <c:pt idx="1">
                  <c:v>13548.999999999996</c:v>
                </c:pt>
                <c:pt idx="2">
                  <c:v>27098</c:v>
                </c:pt>
                <c:pt idx="3">
                  <c:v>19201</c:v>
                </c:pt>
                <c:pt idx="4">
                  <c:v>38402</c:v>
                </c:pt>
              </c:numCache>
            </c:numRef>
          </c:val>
        </c:ser>
        <c:dLbls>
          <c:showLegendKey val="0"/>
          <c:showVal val="0"/>
          <c:showCatName val="0"/>
          <c:showSerName val="0"/>
          <c:showPercent val="0"/>
          <c:showBubbleSize val="0"/>
        </c:dLbls>
        <c:gapWidth val="150"/>
        <c:axId val="48766976"/>
        <c:axId val="111492416"/>
      </c:barChart>
      <c:catAx>
        <c:axId val="48766976"/>
        <c:scaling>
          <c:orientation val="minMax"/>
        </c:scaling>
        <c:delete val="0"/>
        <c:axPos val="b"/>
        <c:numFmt formatCode="General" sourceLinked="0"/>
        <c:majorTickMark val="none"/>
        <c:minorTickMark val="none"/>
        <c:tickLblPos val="nextTo"/>
        <c:crossAx val="111492416"/>
        <c:crosses val="autoZero"/>
        <c:auto val="1"/>
        <c:lblAlgn val="ctr"/>
        <c:lblOffset val="100"/>
        <c:noMultiLvlLbl val="0"/>
      </c:catAx>
      <c:valAx>
        <c:axId val="111492416"/>
        <c:scaling>
          <c:orientation val="minMax"/>
        </c:scaling>
        <c:delete val="0"/>
        <c:axPos val="l"/>
        <c:majorGridlines/>
        <c:title>
          <c:tx>
            <c:rich>
              <a:bodyPr/>
              <a:lstStyle/>
              <a:p>
                <a:pPr>
                  <a:defRPr/>
                </a:pPr>
                <a:r>
                  <a:rPr lang="en-US"/>
                  <a:t>Savings</a:t>
                </a:r>
              </a:p>
            </c:rich>
          </c:tx>
          <c:overlay val="0"/>
        </c:title>
        <c:numFmt formatCode="&quot;$&quot;#,##0.00" sourceLinked="1"/>
        <c:majorTickMark val="none"/>
        <c:minorTickMark val="none"/>
        <c:tickLblPos val="nextTo"/>
        <c:crossAx val="48766976"/>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Year 2</a:t>
            </a:r>
            <a:r>
              <a:rPr lang="en-US" baseline="0"/>
              <a:t> Cost Savings for  On Premises (w/o Hardware Costs)</a:t>
            </a:r>
            <a:endParaRPr lang="en-US"/>
          </a:p>
        </c:rich>
      </c:tx>
      <c:overlay val="0"/>
    </c:title>
    <c:autoTitleDeleted val="0"/>
    <c:plotArea>
      <c:layout/>
      <c:barChart>
        <c:barDir val="col"/>
        <c:grouping val="clustered"/>
        <c:varyColors val="0"/>
        <c:ser>
          <c:idx val="0"/>
          <c:order val="0"/>
          <c:tx>
            <c:v>Year 2 Savings</c:v>
          </c:tx>
          <c:spPr>
            <a:solidFill>
              <a:schemeClr val="accent3"/>
            </a:solidFill>
          </c:spPr>
          <c:invertIfNegative val="0"/>
          <c:dLbls>
            <c:spPr>
              <a:solidFill>
                <a:schemeClr val="bg1"/>
              </a:solidFill>
              <a:ln>
                <a:solidFill>
                  <a:schemeClr val="tx1"/>
                </a:solid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Graphs!$R$6:$R$10</c:f>
              <c:numCache>
                <c:formatCode>"$"#,##0.00</c:formatCode>
                <c:ptCount val="5"/>
                <c:pt idx="0">
                  <c:v>2649.395999999997</c:v>
                </c:pt>
                <c:pt idx="1">
                  <c:v>-165.90599999999904</c:v>
                </c:pt>
                <c:pt idx="2">
                  <c:v>17118.791999999994</c:v>
                </c:pt>
                <c:pt idx="3">
                  <c:v>3886.4429999999993</c:v>
                </c:pt>
                <c:pt idx="4">
                  <c:v>27503.489999999998</c:v>
                </c:pt>
              </c:numCache>
            </c:numRef>
          </c:val>
        </c:ser>
        <c:dLbls>
          <c:dLblPos val="outEnd"/>
          <c:showLegendKey val="0"/>
          <c:showVal val="1"/>
          <c:showCatName val="0"/>
          <c:showSerName val="0"/>
          <c:showPercent val="0"/>
          <c:showBubbleSize val="0"/>
        </c:dLbls>
        <c:gapWidth val="150"/>
        <c:axId val="48768512"/>
        <c:axId val="116573312"/>
      </c:barChart>
      <c:catAx>
        <c:axId val="48768512"/>
        <c:scaling>
          <c:orientation val="minMax"/>
        </c:scaling>
        <c:delete val="0"/>
        <c:axPos val="b"/>
        <c:numFmt formatCode="General" sourceLinked="0"/>
        <c:majorTickMark val="none"/>
        <c:minorTickMark val="none"/>
        <c:tickLblPos val="nextTo"/>
        <c:crossAx val="116573312"/>
        <c:crosses val="autoZero"/>
        <c:auto val="1"/>
        <c:lblAlgn val="ctr"/>
        <c:lblOffset val="100"/>
        <c:noMultiLvlLbl val="0"/>
      </c:catAx>
      <c:valAx>
        <c:axId val="116573312"/>
        <c:scaling>
          <c:orientation val="minMax"/>
        </c:scaling>
        <c:delete val="0"/>
        <c:axPos val="l"/>
        <c:majorGridlines/>
        <c:title>
          <c:tx>
            <c:rich>
              <a:bodyPr/>
              <a:lstStyle/>
              <a:p>
                <a:pPr>
                  <a:defRPr/>
                </a:pPr>
                <a:r>
                  <a:rPr lang="en-US"/>
                  <a:t>Savings</a:t>
                </a:r>
              </a:p>
            </c:rich>
          </c:tx>
          <c:overlay val="0"/>
        </c:title>
        <c:numFmt formatCode="&quot;$&quot;#,##0.00" sourceLinked="1"/>
        <c:majorTickMark val="none"/>
        <c:minorTickMark val="none"/>
        <c:tickLblPos val="nextTo"/>
        <c:crossAx val="48768512"/>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Fully</a:t>
            </a:r>
            <a:r>
              <a:rPr lang="en-US" baseline="0"/>
              <a:t> Hosted Cloud</a:t>
            </a:r>
            <a:r>
              <a:rPr lang="en-US"/>
              <a:t> - Initial Savings </a:t>
            </a:r>
          </a:p>
        </c:rich>
      </c:tx>
      <c:overlay val="0"/>
    </c:title>
    <c:autoTitleDeleted val="0"/>
    <c:plotArea>
      <c:layout/>
      <c:barChart>
        <c:barDir val="col"/>
        <c:grouping val="clustered"/>
        <c:varyColors val="0"/>
        <c:ser>
          <c:idx val="0"/>
          <c:order val="0"/>
          <c:tx>
            <c:v>Fully Hosted Cloud</c:v>
          </c:tx>
          <c:spPr>
            <a:solidFill>
              <a:schemeClr val="accent4"/>
            </a:solidFill>
          </c:spPr>
          <c:invertIfNegative val="0"/>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Graphs!$S$6:$S$10</c:f>
              <c:numCache>
                <c:formatCode>"$"#,##0.00</c:formatCode>
                <c:ptCount val="5"/>
                <c:pt idx="0">
                  <c:v>11144.036024839743</c:v>
                </c:pt>
                <c:pt idx="1">
                  <c:v>23188.474305128206</c:v>
                </c:pt>
                <c:pt idx="2">
                  <c:v>44854.776814062498</c:v>
                </c:pt>
                <c:pt idx="3">
                  <c:v>32462.422136378205</c:v>
                </c:pt>
                <c:pt idx="4">
                  <c:v>63286.827204687506</c:v>
                </c:pt>
              </c:numCache>
            </c:numRef>
          </c:val>
        </c:ser>
        <c:dLbls>
          <c:showLegendKey val="0"/>
          <c:showVal val="0"/>
          <c:showCatName val="0"/>
          <c:showSerName val="0"/>
          <c:showPercent val="0"/>
          <c:showBubbleSize val="0"/>
        </c:dLbls>
        <c:gapWidth val="75"/>
        <c:overlap val="-25"/>
        <c:axId val="48770560"/>
        <c:axId val="116574464"/>
      </c:barChart>
      <c:catAx>
        <c:axId val="48770560"/>
        <c:scaling>
          <c:orientation val="minMax"/>
        </c:scaling>
        <c:delete val="0"/>
        <c:axPos val="b"/>
        <c:numFmt formatCode="General" sourceLinked="0"/>
        <c:majorTickMark val="none"/>
        <c:minorTickMark val="none"/>
        <c:tickLblPos val="nextTo"/>
        <c:crossAx val="116574464"/>
        <c:crosses val="autoZero"/>
        <c:auto val="1"/>
        <c:lblAlgn val="ctr"/>
        <c:lblOffset val="100"/>
        <c:noMultiLvlLbl val="0"/>
      </c:catAx>
      <c:valAx>
        <c:axId val="116574464"/>
        <c:scaling>
          <c:orientation val="minMax"/>
        </c:scaling>
        <c:delete val="0"/>
        <c:axPos val="l"/>
        <c:majorGridlines/>
        <c:numFmt formatCode="&quot;$&quot;#,##0.00" sourceLinked="1"/>
        <c:majorTickMark val="none"/>
        <c:minorTickMark val="none"/>
        <c:tickLblPos val="nextTo"/>
        <c:spPr>
          <a:ln w="9525">
            <a:noFill/>
          </a:ln>
        </c:spPr>
        <c:crossAx val="487705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Year 1 Cost Savings for</a:t>
            </a:r>
            <a:r>
              <a:rPr lang="en-US" baseline="0"/>
              <a:t> Fully Hosted (w/o Hardware Costs)</a:t>
            </a:r>
          </a:p>
        </c:rich>
      </c:tx>
      <c:overlay val="0"/>
    </c:title>
    <c:autoTitleDeleted val="0"/>
    <c:plotArea>
      <c:layout/>
      <c:barChart>
        <c:barDir val="col"/>
        <c:grouping val="clustered"/>
        <c:varyColors val="0"/>
        <c:ser>
          <c:idx val="0"/>
          <c:order val="0"/>
          <c:tx>
            <c:v>Year 1 Savings</c:v>
          </c:tx>
          <c:spPr>
            <a:solidFill>
              <a:schemeClr val="accent4"/>
            </a:solidFill>
          </c:spPr>
          <c:invertIfNegative val="0"/>
          <c:dLbls>
            <c:spPr>
              <a:solidFill>
                <a:schemeClr val="bg1"/>
              </a:solidFill>
              <a:ln>
                <a:solidFill>
                  <a:schemeClr val="tx1"/>
                </a:solid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Graphs!$T$6:$T$10</c:f>
              <c:numCache>
                <c:formatCode>"$"#,##0.00</c:formatCode>
                <c:ptCount val="5"/>
                <c:pt idx="0">
                  <c:v>8867.7666666666664</c:v>
                </c:pt>
                <c:pt idx="1">
                  <c:v>20013.866666666665</c:v>
                </c:pt>
                <c:pt idx="2">
                  <c:v>40027.733333333337</c:v>
                </c:pt>
                <c:pt idx="3">
                  <c:v>28914.966666666667</c:v>
                </c:pt>
                <c:pt idx="4">
                  <c:v>57829.933333333334</c:v>
                </c:pt>
              </c:numCache>
            </c:numRef>
          </c:val>
        </c:ser>
        <c:dLbls>
          <c:showLegendKey val="0"/>
          <c:showVal val="0"/>
          <c:showCatName val="0"/>
          <c:showSerName val="0"/>
          <c:showPercent val="0"/>
          <c:showBubbleSize val="0"/>
        </c:dLbls>
        <c:gapWidth val="150"/>
        <c:axId val="49254912"/>
        <c:axId val="116576192"/>
      </c:barChart>
      <c:catAx>
        <c:axId val="49254912"/>
        <c:scaling>
          <c:orientation val="minMax"/>
        </c:scaling>
        <c:delete val="0"/>
        <c:axPos val="b"/>
        <c:numFmt formatCode="General" sourceLinked="0"/>
        <c:majorTickMark val="none"/>
        <c:minorTickMark val="none"/>
        <c:tickLblPos val="nextTo"/>
        <c:crossAx val="116576192"/>
        <c:crosses val="autoZero"/>
        <c:auto val="1"/>
        <c:lblAlgn val="ctr"/>
        <c:lblOffset val="100"/>
        <c:noMultiLvlLbl val="0"/>
      </c:catAx>
      <c:valAx>
        <c:axId val="116576192"/>
        <c:scaling>
          <c:orientation val="minMax"/>
        </c:scaling>
        <c:delete val="0"/>
        <c:axPos val="l"/>
        <c:majorGridlines/>
        <c:title>
          <c:tx>
            <c:rich>
              <a:bodyPr/>
              <a:lstStyle/>
              <a:p>
                <a:pPr>
                  <a:defRPr/>
                </a:pPr>
                <a:r>
                  <a:rPr lang="en-US"/>
                  <a:t>Savings</a:t>
                </a:r>
              </a:p>
            </c:rich>
          </c:tx>
          <c:overlay val="0"/>
        </c:title>
        <c:numFmt formatCode="&quot;$&quot;#,##0.00" sourceLinked="1"/>
        <c:majorTickMark val="none"/>
        <c:minorTickMark val="none"/>
        <c:tickLblPos val="nextTo"/>
        <c:crossAx val="49254912"/>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Year 2</a:t>
            </a:r>
            <a:r>
              <a:rPr lang="en-US" baseline="0"/>
              <a:t> Cost Savings for  On Premises (w/o Hardware Costs)</a:t>
            </a:r>
            <a:endParaRPr lang="en-US"/>
          </a:p>
        </c:rich>
      </c:tx>
      <c:overlay val="0"/>
    </c:title>
    <c:autoTitleDeleted val="0"/>
    <c:plotArea>
      <c:layout/>
      <c:barChart>
        <c:barDir val="col"/>
        <c:grouping val="clustered"/>
        <c:varyColors val="0"/>
        <c:ser>
          <c:idx val="0"/>
          <c:order val="0"/>
          <c:tx>
            <c:v>Year 2 Savings</c:v>
          </c:tx>
          <c:spPr>
            <a:solidFill>
              <a:schemeClr val="accent3"/>
            </a:solidFill>
          </c:spPr>
          <c:invertIfNegative val="0"/>
          <c:dLbls>
            <c:spPr>
              <a:solidFill>
                <a:schemeClr val="bg1"/>
              </a:solidFill>
              <a:ln>
                <a:solidFill>
                  <a:schemeClr val="tx1"/>
                </a:solid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Graphs!$U$6:$U$10</c:f>
              <c:numCache>
                <c:formatCode>"$"#,##0.00</c:formatCode>
                <c:ptCount val="5"/>
                <c:pt idx="0">
                  <c:v>2649.395999999997</c:v>
                </c:pt>
                <c:pt idx="1">
                  <c:v>-165.90599999999904</c:v>
                </c:pt>
                <c:pt idx="2">
                  <c:v>17118.791999999994</c:v>
                </c:pt>
                <c:pt idx="3">
                  <c:v>3886.4429999999993</c:v>
                </c:pt>
                <c:pt idx="4">
                  <c:v>27503.489999999998</c:v>
                </c:pt>
              </c:numCache>
            </c:numRef>
          </c:val>
        </c:ser>
        <c:dLbls>
          <c:dLblPos val="outEnd"/>
          <c:showLegendKey val="0"/>
          <c:showVal val="1"/>
          <c:showCatName val="0"/>
          <c:showSerName val="0"/>
          <c:showPercent val="0"/>
          <c:showBubbleSize val="0"/>
        </c:dLbls>
        <c:gapWidth val="150"/>
        <c:axId val="49255936"/>
        <c:axId val="116577920"/>
      </c:barChart>
      <c:catAx>
        <c:axId val="49255936"/>
        <c:scaling>
          <c:orientation val="minMax"/>
        </c:scaling>
        <c:delete val="0"/>
        <c:axPos val="b"/>
        <c:numFmt formatCode="General" sourceLinked="0"/>
        <c:majorTickMark val="none"/>
        <c:minorTickMark val="none"/>
        <c:tickLblPos val="nextTo"/>
        <c:crossAx val="116577920"/>
        <c:crosses val="autoZero"/>
        <c:auto val="1"/>
        <c:lblAlgn val="ctr"/>
        <c:lblOffset val="100"/>
        <c:noMultiLvlLbl val="0"/>
      </c:catAx>
      <c:valAx>
        <c:axId val="116577920"/>
        <c:scaling>
          <c:orientation val="minMax"/>
        </c:scaling>
        <c:delete val="0"/>
        <c:axPos val="l"/>
        <c:majorGridlines/>
        <c:title>
          <c:tx>
            <c:rich>
              <a:bodyPr/>
              <a:lstStyle/>
              <a:p>
                <a:pPr>
                  <a:defRPr/>
                </a:pPr>
                <a:r>
                  <a:rPr lang="en-US"/>
                  <a:t>Savings</a:t>
                </a:r>
              </a:p>
            </c:rich>
          </c:tx>
          <c:overlay val="0"/>
        </c:title>
        <c:numFmt formatCode="&quot;$&quot;#,##0.00" sourceLinked="1"/>
        <c:majorTickMark val="none"/>
        <c:minorTickMark val="none"/>
        <c:tickLblPos val="nextTo"/>
        <c:crossAx val="49255936"/>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Costs for Yr 1 + 2 (w</a:t>
            </a:r>
            <a:r>
              <a:rPr lang="en-US" baseline="0"/>
              <a:t>/ Licensing and Hardware)</a:t>
            </a:r>
          </a:p>
        </c:rich>
      </c:tx>
      <c:layout/>
      <c:overlay val="0"/>
    </c:title>
    <c:autoTitleDeleted val="0"/>
    <c:plotArea>
      <c:layout/>
      <c:barChart>
        <c:barDir val="col"/>
        <c:grouping val="clustered"/>
        <c:varyColors val="0"/>
        <c:ser>
          <c:idx val="0"/>
          <c:order val="0"/>
          <c:tx>
            <c:v>On Prem</c:v>
          </c:tx>
          <c:spPr>
            <a:solidFill>
              <a:schemeClr val="accent3"/>
            </a:solidFill>
          </c:spPr>
          <c:invertIfNegative val="0"/>
          <c:dLbls>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Graphs!$V$6:$V$10</c:f>
              <c:numCache>
                <c:formatCode>"$"#,##0.00</c:formatCode>
                <c:ptCount val="5"/>
                <c:pt idx="0">
                  <c:v>46518.782358974364</c:v>
                </c:pt>
                <c:pt idx="1">
                  <c:v>76082.217128205128</c:v>
                </c:pt>
                <c:pt idx="2">
                  <c:v>116403.06600000002</c:v>
                </c:pt>
                <c:pt idx="3">
                  <c:v>94460.926820512832</c:v>
                </c:pt>
                <c:pt idx="4">
                  <c:v>153249.62</c:v>
                </c:pt>
              </c:numCache>
            </c:numRef>
          </c:val>
        </c:ser>
        <c:ser>
          <c:idx val="1"/>
          <c:order val="1"/>
          <c:tx>
            <c:v>Fully Hosted Cloud</c:v>
          </c:tx>
          <c:spPr>
            <a:solidFill>
              <a:schemeClr val="accent4"/>
            </a:solidFill>
          </c:spPr>
          <c:invertIfNegative val="0"/>
          <c:dLbls>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Graphs!$W$6:$W$10</c:f>
              <c:numCache>
                <c:formatCode>"$"#,##0.00</c:formatCode>
                <c:ptCount val="5"/>
                <c:pt idx="0">
                  <c:v>40080</c:v>
                </c:pt>
                <c:pt idx="1">
                  <c:v>51840</c:v>
                </c:pt>
                <c:pt idx="2">
                  <c:v>103800</c:v>
                </c:pt>
                <c:pt idx="3">
                  <c:v>68640</c:v>
                </c:pt>
                <c:pt idx="4">
                  <c:v>141960</c:v>
                </c:pt>
              </c:numCache>
            </c:numRef>
          </c:val>
        </c:ser>
        <c:ser>
          <c:idx val="2"/>
          <c:order val="2"/>
          <c:tx>
            <c:v>Apptix</c:v>
          </c:tx>
          <c:spPr>
            <a:solidFill>
              <a:schemeClr val="accent6">
                <a:lumMod val="75000"/>
              </a:schemeClr>
            </a:solidFill>
          </c:spPr>
          <c:invertIfNegative val="0"/>
          <c:dLbls>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Graphs!$X$6:$X$10</c:f>
              <c:numCache>
                <c:formatCode>"$"#,##0.00</c:formatCode>
                <c:ptCount val="5"/>
                <c:pt idx="0">
                  <c:v>0</c:v>
                </c:pt>
                <c:pt idx="1">
                  <c:v>39480</c:v>
                </c:pt>
                <c:pt idx="2">
                  <c:v>82680</c:v>
                </c:pt>
                <c:pt idx="3">
                  <c:v>58680</c:v>
                </c:pt>
                <c:pt idx="4">
                  <c:v>123480</c:v>
                </c:pt>
              </c:numCache>
            </c:numRef>
          </c:val>
        </c:ser>
        <c:dLbls>
          <c:showLegendKey val="0"/>
          <c:showVal val="1"/>
          <c:showCatName val="0"/>
          <c:showSerName val="0"/>
          <c:showPercent val="0"/>
          <c:showBubbleSize val="0"/>
        </c:dLbls>
        <c:gapWidth val="150"/>
        <c:axId val="49256960"/>
        <c:axId val="116579648"/>
      </c:barChart>
      <c:catAx>
        <c:axId val="49256960"/>
        <c:scaling>
          <c:orientation val="minMax"/>
        </c:scaling>
        <c:delete val="0"/>
        <c:axPos val="b"/>
        <c:numFmt formatCode="General" sourceLinked="0"/>
        <c:majorTickMark val="none"/>
        <c:minorTickMark val="none"/>
        <c:tickLblPos val="nextTo"/>
        <c:crossAx val="116579648"/>
        <c:crosses val="autoZero"/>
        <c:auto val="1"/>
        <c:lblAlgn val="ctr"/>
        <c:lblOffset val="100"/>
        <c:noMultiLvlLbl val="0"/>
      </c:catAx>
      <c:valAx>
        <c:axId val="116579648"/>
        <c:scaling>
          <c:orientation val="minMax"/>
        </c:scaling>
        <c:delete val="0"/>
        <c:axPos val="l"/>
        <c:majorGridlines/>
        <c:numFmt formatCode="&quot;$&quot;#,##0.00" sourceLinked="1"/>
        <c:majorTickMark val="none"/>
        <c:minorTickMark val="none"/>
        <c:tickLblPos val="nextTo"/>
        <c:crossAx val="492569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Costs for Yr 1 to</a:t>
            </a:r>
            <a:r>
              <a:rPr lang="en-US" baseline="0"/>
              <a:t> 3</a:t>
            </a:r>
            <a:r>
              <a:rPr lang="en-US"/>
              <a:t> (w</a:t>
            </a:r>
            <a:r>
              <a:rPr lang="en-US" baseline="0"/>
              <a:t>/ Licensing and Hardware)</a:t>
            </a:r>
          </a:p>
        </c:rich>
      </c:tx>
      <c:layout/>
      <c:overlay val="0"/>
    </c:title>
    <c:autoTitleDeleted val="0"/>
    <c:plotArea>
      <c:layout/>
      <c:barChart>
        <c:barDir val="col"/>
        <c:grouping val="clustered"/>
        <c:varyColors val="0"/>
        <c:ser>
          <c:idx val="0"/>
          <c:order val="0"/>
          <c:tx>
            <c:v>On Prem</c:v>
          </c:tx>
          <c:spPr>
            <a:solidFill>
              <a:schemeClr val="accent3"/>
            </a:solidFill>
          </c:spPr>
          <c:invertIfNegative val="0"/>
          <c:dLbls>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Graphs!$Y$6:$Y$10</c:f>
              <c:numCache>
                <c:formatCode>"$"#,##0.00</c:formatCode>
                <c:ptCount val="5"/>
                <c:pt idx="0">
                  <c:v>63909.386358974371</c:v>
                </c:pt>
                <c:pt idx="1">
                  <c:v>102168.12312820513</c:v>
                </c:pt>
                <c:pt idx="2">
                  <c:v>151184.27400000003</c:v>
                </c:pt>
                <c:pt idx="3">
                  <c:v>124894.48382051283</c:v>
                </c:pt>
                <c:pt idx="4">
                  <c:v>196726.13</c:v>
                </c:pt>
              </c:numCache>
            </c:numRef>
          </c:val>
        </c:ser>
        <c:ser>
          <c:idx val="1"/>
          <c:order val="1"/>
          <c:tx>
            <c:v>Fully Hosted Cloud</c:v>
          </c:tx>
          <c:spPr>
            <a:solidFill>
              <a:schemeClr val="accent4"/>
            </a:solidFill>
          </c:spPr>
          <c:invertIfNegative val="0"/>
          <c:dLbls>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Graphs!$Z$6:$Z$10</c:f>
              <c:numCache>
                <c:formatCode>"$"#,##0.00</c:formatCode>
                <c:ptCount val="5"/>
                <c:pt idx="0">
                  <c:v>60120</c:v>
                </c:pt>
                <c:pt idx="1">
                  <c:v>77760</c:v>
                </c:pt>
                <c:pt idx="2">
                  <c:v>155700</c:v>
                </c:pt>
                <c:pt idx="3">
                  <c:v>102960</c:v>
                </c:pt>
                <c:pt idx="4">
                  <c:v>212940</c:v>
                </c:pt>
              </c:numCache>
            </c:numRef>
          </c:val>
        </c:ser>
        <c:ser>
          <c:idx val="2"/>
          <c:order val="2"/>
          <c:tx>
            <c:v>Apptix</c:v>
          </c:tx>
          <c:spPr>
            <a:solidFill>
              <a:schemeClr val="accent6">
                <a:lumMod val="75000"/>
              </a:schemeClr>
            </a:solidFill>
          </c:spPr>
          <c:invertIfNegative val="0"/>
          <c:dLbls>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Graphs!$AA$6:$AA$10</c:f>
              <c:numCache>
                <c:formatCode>"$"#,##0.00</c:formatCode>
                <c:ptCount val="5"/>
                <c:pt idx="0">
                  <c:v>0</c:v>
                </c:pt>
                <c:pt idx="1">
                  <c:v>59220</c:v>
                </c:pt>
                <c:pt idx="2">
                  <c:v>124020</c:v>
                </c:pt>
                <c:pt idx="3">
                  <c:v>88020</c:v>
                </c:pt>
                <c:pt idx="4">
                  <c:v>185220</c:v>
                </c:pt>
              </c:numCache>
            </c:numRef>
          </c:val>
        </c:ser>
        <c:dLbls>
          <c:showLegendKey val="0"/>
          <c:showVal val="1"/>
          <c:showCatName val="0"/>
          <c:showSerName val="0"/>
          <c:showPercent val="0"/>
          <c:showBubbleSize val="0"/>
        </c:dLbls>
        <c:gapWidth val="150"/>
        <c:axId val="49257984"/>
        <c:axId val="145016512"/>
      </c:barChart>
      <c:catAx>
        <c:axId val="49257984"/>
        <c:scaling>
          <c:orientation val="minMax"/>
        </c:scaling>
        <c:delete val="0"/>
        <c:axPos val="b"/>
        <c:numFmt formatCode="General" sourceLinked="0"/>
        <c:majorTickMark val="none"/>
        <c:minorTickMark val="none"/>
        <c:tickLblPos val="nextTo"/>
        <c:crossAx val="145016512"/>
        <c:crosses val="autoZero"/>
        <c:auto val="1"/>
        <c:lblAlgn val="ctr"/>
        <c:lblOffset val="100"/>
        <c:noMultiLvlLbl val="0"/>
      </c:catAx>
      <c:valAx>
        <c:axId val="145016512"/>
        <c:scaling>
          <c:orientation val="minMax"/>
        </c:scaling>
        <c:delete val="0"/>
        <c:axPos val="l"/>
        <c:majorGridlines/>
        <c:numFmt formatCode="&quot;$&quot;#,##0.00" sourceLinked="1"/>
        <c:majorTickMark val="none"/>
        <c:minorTickMark val="none"/>
        <c:tickLblPos val="nextTo"/>
        <c:crossAx val="492579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SharePoint</a:t>
            </a:r>
            <a:r>
              <a:rPr lang="en-US" baseline="0"/>
              <a:t> - </a:t>
            </a:r>
            <a:r>
              <a:rPr lang="en-US"/>
              <a:t>Small Farm w/ High Availability (2 WFE &amp; 2 SQL)</a:t>
            </a:r>
          </a:p>
        </c:rich>
      </c:tx>
      <c:layout/>
      <c:overlay val="0"/>
    </c:title>
    <c:autoTitleDeleted val="0"/>
    <c:plotArea>
      <c:layout/>
      <c:lineChart>
        <c:grouping val="standard"/>
        <c:varyColors val="0"/>
        <c:ser>
          <c:idx val="0"/>
          <c:order val="0"/>
          <c:tx>
            <c:v>Low Estimates</c:v>
          </c:tx>
          <c:marker>
            <c:symbol val="none"/>
          </c:marker>
          <c:cat>
            <c:strRef>
              <c:f>'Professional Service Estimates'!$G$54:$G$65</c:f>
              <c:strCache>
                <c:ptCount val="12"/>
                <c:pt idx="0">
                  <c:v>Firm A</c:v>
                </c:pt>
                <c:pt idx="1">
                  <c:v>Firm B</c:v>
                </c:pt>
                <c:pt idx="2">
                  <c:v>Firm C</c:v>
                </c:pt>
                <c:pt idx="3">
                  <c:v>Firm D</c:v>
                </c:pt>
                <c:pt idx="4">
                  <c:v>Firm E</c:v>
                </c:pt>
                <c:pt idx="5">
                  <c:v>Firm F</c:v>
                </c:pt>
                <c:pt idx="6">
                  <c:v>Firm G</c:v>
                </c:pt>
                <c:pt idx="7">
                  <c:v>Firm H</c:v>
                </c:pt>
                <c:pt idx="8">
                  <c:v>Firm I</c:v>
                </c:pt>
                <c:pt idx="9">
                  <c:v>Firm J</c:v>
                </c:pt>
                <c:pt idx="10">
                  <c:v>Firm K</c:v>
                </c:pt>
                <c:pt idx="11">
                  <c:v>Firm M</c:v>
                </c:pt>
              </c:strCache>
            </c:strRef>
          </c:cat>
          <c:val>
            <c:numRef>
              <c:f>'Professional Service Estimates'!$E$54:$E$65</c:f>
              <c:numCache>
                <c:formatCode>"$"#,##0.00</c:formatCode>
                <c:ptCount val="12"/>
                <c:pt idx="0">
                  <c:v>2700</c:v>
                </c:pt>
                <c:pt idx="1">
                  <c:v>3600</c:v>
                </c:pt>
                <c:pt idx="2">
                  <c:v>4800</c:v>
                </c:pt>
                <c:pt idx="3">
                  <c:v>9900</c:v>
                </c:pt>
                <c:pt idx="4">
                  <c:v>6000</c:v>
                </c:pt>
                <c:pt idx="5">
                  <c:v>4200</c:v>
                </c:pt>
                <c:pt idx="6">
                  <c:v>4800</c:v>
                </c:pt>
                <c:pt idx="7">
                  <c:v>4320</c:v>
                </c:pt>
                <c:pt idx="8">
                  <c:v>10560</c:v>
                </c:pt>
                <c:pt idx="9">
                  <c:v>4810</c:v>
                </c:pt>
                <c:pt idx="10">
                  <c:v>4800</c:v>
                </c:pt>
                <c:pt idx="11">
                  <c:v>4800</c:v>
                </c:pt>
              </c:numCache>
            </c:numRef>
          </c:val>
          <c:smooth val="0"/>
        </c:ser>
        <c:ser>
          <c:idx val="1"/>
          <c:order val="1"/>
          <c:tx>
            <c:v>High Estimates</c:v>
          </c:tx>
          <c:marker>
            <c:symbol val="none"/>
          </c:marker>
          <c:cat>
            <c:strRef>
              <c:f>'Professional Service Estimates'!$G$54:$G$65</c:f>
              <c:strCache>
                <c:ptCount val="12"/>
                <c:pt idx="0">
                  <c:v>Firm A</c:v>
                </c:pt>
                <c:pt idx="1">
                  <c:v>Firm B</c:v>
                </c:pt>
                <c:pt idx="2">
                  <c:v>Firm C</c:v>
                </c:pt>
                <c:pt idx="3">
                  <c:v>Firm D</c:v>
                </c:pt>
                <c:pt idx="4">
                  <c:v>Firm E</c:v>
                </c:pt>
                <c:pt idx="5">
                  <c:v>Firm F</c:v>
                </c:pt>
                <c:pt idx="6">
                  <c:v>Firm G</c:v>
                </c:pt>
                <c:pt idx="7">
                  <c:v>Firm H</c:v>
                </c:pt>
                <c:pt idx="8">
                  <c:v>Firm I</c:v>
                </c:pt>
                <c:pt idx="9">
                  <c:v>Firm J</c:v>
                </c:pt>
                <c:pt idx="10">
                  <c:v>Firm K</c:v>
                </c:pt>
                <c:pt idx="11">
                  <c:v>Firm M</c:v>
                </c:pt>
              </c:strCache>
            </c:strRef>
          </c:cat>
          <c:val>
            <c:numRef>
              <c:f>'Professional Service Estimates'!$F$54:$F$65</c:f>
              <c:numCache>
                <c:formatCode>"$"#,##0.00</c:formatCode>
                <c:ptCount val="12"/>
                <c:pt idx="0">
                  <c:v>7800</c:v>
                </c:pt>
                <c:pt idx="1">
                  <c:v>4440</c:v>
                </c:pt>
                <c:pt idx="2">
                  <c:v>8400</c:v>
                </c:pt>
                <c:pt idx="3">
                  <c:v>13200</c:v>
                </c:pt>
                <c:pt idx="4">
                  <c:v>8700</c:v>
                </c:pt>
                <c:pt idx="5">
                  <c:v>7000</c:v>
                </c:pt>
                <c:pt idx="6">
                  <c:v>6000</c:v>
                </c:pt>
                <c:pt idx="7">
                  <c:v>7020</c:v>
                </c:pt>
                <c:pt idx="8">
                  <c:v>10560</c:v>
                </c:pt>
                <c:pt idx="9">
                  <c:v>11100</c:v>
                </c:pt>
                <c:pt idx="10">
                  <c:v>6000</c:v>
                </c:pt>
                <c:pt idx="11">
                  <c:v>8000</c:v>
                </c:pt>
              </c:numCache>
            </c:numRef>
          </c:val>
          <c:smooth val="0"/>
        </c:ser>
        <c:dLbls>
          <c:showLegendKey val="0"/>
          <c:showVal val="0"/>
          <c:showCatName val="0"/>
          <c:showSerName val="0"/>
          <c:showPercent val="0"/>
          <c:showBubbleSize val="0"/>
        </c:dLbls>
        <c:marker val="1"/>
        <c:smooth val="0"/>
        <c:axId val="66490368"/>
        <c:axId val="140129920"/>
      </c:lineChart>
      <c:catAx>
        <c:axId val="66490368"/>
        <c:scaling>
          <c:orientation val="minMax"/>
        </c:scaling>
        <c:delete val="0"/>
        <c:axPos val="b"/>
        <c:numFmt formatCode="General" sourceLinked="0"/>
        <c:majorTickMark val="none"/>
        <c:minorTickMark val="none"/>
        <c:tickLblPos val="nextTo"/>
        <c:crossAx val="140129920"/>
        <c:crosses val="autoZero"/>
        <c:auto val="1"/>
        <c:lblAlgn val="ctr"/>
        <c:lblOffset val="100"/>
        <c:noMultiLvlLbl val="0"/>
      </c:catAx>
      <c:valAx>
        <c:axId val="140129920"/>
        <c:scaling>
          <c:orientation val="minMax"/>
        </c:scaling>
        <c:delete val="0"/>
        <c:axPos val="l"/>
        <c:majorGridlines/>
        <c:title>
          <c:tx>
            <c:rich>
              <a:bodyPr/>
              <a:lstStyle/>
              <a:p>
                <a:pPr>
                  <a:defRPr/>
                </a:pPr>
                <a:r>
                  <a:rPr lang="en-US"/>
                  <a:t>Professional Services</a:t>
                </a:r>
              </a:p>
            </c:rich>
          </c:tx>
          <c:layout/>
          <c:overlay val="0"/>
        </c:title>
        <c:numFmt formatCode="&quot;$&quot;#,##0.00" sourceLinked="1"/>
        <c:majorTickMark val="none"/>
        <c:minorTickMark val="none"/>
        <c:tickLblPos val="nextTo"/>
        <c:crossAx val="6649036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Costs for Yr 1 to</a:t>
            </a:r>
            <a:r>
              <a:rPr lang="en-US" baseline="0"/>
              <a:t> 4</a:t>
            </a:r>
            <a:r>
              <a:rPr lang="en-US"/>
              <a:t> (w</a:t>
            </a:r>
            <a:r>
              <a:rPr lang="en-US" baseline="0"/>
              <a:t>/ Licensing and Hardware)</a:t>
            </a:r>
          </a:p>
        </c:rich>
      </c:tx>
      <c:layout/>
      <c:overlay val="0"/>
    </c:title>
    <c:autoTitleDeleted val="0"/>
    <c:plotArea>
      <c:layout/>
      <c:barChart>
        <c:barDir val="col"/>
        <c:grouping val="clustered"/>
        <c:varyColors val="0"/>
        <c:ser>
          <c:idx val="0"/>
          <c:order val="0"/>
          <c:tx>
            <c:v>On Prem</c:v>
          </c:tx>
          <c:spPr>
            <a:solidFill>
              <a:schemeClr val="accent3"/>
            </a:solidFill>
          </c:spPr>
          <c:invertIfNegative val="0"/>
          <c:dLbls>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Graphs!$AB$6:$AB$10</c:f>
              <c:numCache>
                <c:formatCode>"$"#,##0.00</c:formatCode>
                <c:ptCount val="5"/>
                <c:pt idx="0">
                  <c:v>81299.990358974363</c:v>
                </c:pt>
                <c:pt idx="1">
                  <c:v>128254.02912820512</c:v>
                </c:pt>
                <c:pt idx="2">
                  <c:v>185965.48200000002</c:v>
                </c:pt>
                <c:pt idx="3">
                  <c:v>155328.04082051283</c:v>
                </c:pt>
                <c:pt idx="4">
                  <c:v>240202.64</c:v>
                </c:pt>
              </c:numCache>
            </c:numRef>
          </c:val>
        </c:ser>
        <c:ser>
          <c:idx val="1"/>
          <c:order val="1"/>
          <c:tx>
            <c:v>Fully Hosted Cloud</c:v>
          </c:tx>
          <c:spPr>
            <a:solidFill>
              <a:schemeClr val="accent4"/>
            </a:solidFill>
          </c:spPr>
          <c:invertIfNegative val="0"/>
          <c:dLbls>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Graphs!$AC$6:$AC$10</c:f>
              <c:numCache>
                <c:formatCode>"$"#,##0.00</c:formatCode>
                <c:ptCount val="5"/>
                <c:pt idx="0">
                  <c:v>80160</c:v>
                </c:pt>
                <c:pt idx="1">
                  <c:v>103680</c:v>
                </c:pt>
                <c:pt idx="2">
                  <c:v>207600</c:v>
                </c:pt>
                <c:pt idx="3">
                  <c:v>137280</c:v>
                </c:pt>
                <c:pt idx="4">
                  <c:v>283920</c:v>
                </c:pt>
              </c:numCache>
            </c:numRef>
          </c:val>
        </c:ser>
        <c:ser>
          <c:idx val="2"/>
          <c:order val="2"/>
          <c:tx>
            <c:v>Apptix</c:v>
          </c:tx>
          <c:spPr>
            <a:solidFill>
              <a:schemeClr val="accent6">
                <a:lumMod val="75000"/>
              </a:schemeClr>
            </a:solidFill>
          </c:spPr>
          <c:invertIfNegative val="0"/>
          <c:dLbls>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Graphs!$AD$6:$AD$10</c:f>
              <c:numCache>
                <c:formatCode>"$"#,##0.00</c:formatCode>
                <c:ptCount val="5"/>
                <c:pt idx="0">
                  <c:v>0</c:v>
                </c:pt>
                <c:pt idx="1">
                  <c:v>78960</c:v>
                </c:pt>
                <c:pt idx="2">
                  <c:v>165360</c:v>
                </c:pt>
                <c:pt idx="3">
                  <c:v>117360</c:v>
                </c:pt>
                <c:pt idx="4">
                  <c:v>246960</c:v>
                </c:pt>
              </c:numCache>
            </c:numRef>
          </c:val>
        </c:ser>
        <c:dLbls>
          <c:showLegendKey val="0"/>
          <c:showVal val="1"/>
          <c:showCatName val="0"/>
          <c:showSerName val="0"/>
          <c:showPercent val="0"/>
          <c:showBubbleSize val="0"/>
        </c:dLbls>
        <c:gapWidth val="150"/>
        <c:axId val="49254400"/>
        <c:axId val="145018816"/>
      </c:barChart>
      <c:catAx>
        <c:axId val="49254400"/>
        <c:scaling>
          <c:orientation val="minMax"/>
        </c:scaling>
        <c:delete val="0"/>
        <c:axPos val="b"/>
        <c:numFmt formatCode="General" sourceLinked="0"/>
        <c:majorTickMark val="none"/>
        <c:minorTickMark val="none"/>
        <c:tickLblPos val="nextTo"/>
        <c:crossAx val="145018816"/>
        <c:crosses val="autoZero"/>
        <c:auto val="1"/>
        <c:lblAlgn val="ctr"/>
        <c:lblOffset val="100"/>
        <c:noMultiLvlLbl val="0"/>
      </c:catAx>
      <c:valAx>
        <c:axId val="145018816"/>
        <c:scaling>
          <c:orientation val="minMax"/>
        </c:scaling>
        <c:delete val="0"/>
        <c:axPos val="l"/>
        <c:majorGridlines/>
        <c:numFmt formatCode="&quot;$&quot;#,##0.00" sourceLinked="1"/>
        <c:majorTickMark val="none"/>
        <c:minorTickMark val="none"/>
        <c:tickLblPos val="nextTo"/>
        <c:crossAx val="492544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Costs for Yr 1 to</a:t>
            </a:r>
            <a:r>
              <a:rPr lang="en-US" baseline="0"/>
              <a:t> 5</a:t>
            </a:r>
            <a:r>
              <a:rPr lang="en-US"/>
              <a:t> (w</a:t>
            </a:r>
            <a:r>
              <a:rPr lang="en-US" baseline="0"/>
              <a:t>/ Licensing and Hardware)</a:t>
            </a:r>
          </a:p>
        </c:rich>
      </c:tx>
      <c:layout/>
      <c:overlay val="0"/>
    </c:title>
    <c:autoTitleDeleted val="0"/>
    <c:plotArea>
      <c:layout/>
      <c:barChart>
        <c:barDir val="col"/>
        <c:grouping val="clustered"/>
        <c:varyColors val="0"/>
        <c:ser>
          <c:idx val="0"/>
          <c:order val="0"/>
          <c:tx>
            <c:v>On Prem</c:v>
          </c:tx>
          <c:spPr>
            <a:solidFill>
              <a:schemeClr val="accent3"/>
            </a:solidFill>
          </c:spPr>
          <c:invertIfNegative val="0"/>
          <c:dLbls>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Graphs!$AE$6:$AE$10</c:f>
              <c:numCache>
                <c:formatCode>"$"#,##0.00</c:formatCode>
                <c:ptCount val="5"/>
                <c:pt idx="0">
                  <c:v>98690.594358974369</c:v>
                </c:pt>
                <c:pt idx="1">
                  <c:v>154339.93512820511</c:v>
                </c:pt>
                <c:pt idx="2">
                  <c:v>220746.69000000003</c:v>
                </c:pt>
                <c:pt idx="3">
                  <c:v>185761.59782051283</c:v>
                </c:pt>
                <c:pt idx="4">
                  <c:v>283679.15000000002</c:v>
                </c:pt>
              </c:numCache>
            </c:numRef>
          </c:val>
        </c:ser>
        <c:ser>
          <c:idx val="1"/>
          <c:order val="1"/>
          <c:tx>
            <c:v>Fully Hosted Cloud</c:v>
          </c:tx>
          <c:spPr>
            <a:solidFill>
              <a:schemeClr val="accent4"/>
            </a:solidFill>
          </c:spPr>
          <c:invertIfNegative val="0"/>
          <c:dLbls>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Graphs!$AF$6:$AF$10</c:f>
              <c:numCache>
                <c:formatCode>"$"#,##0.00</c:formatCode>
                <c:ptCount val="5"/>
                <c:pt idx="0">
                  <c:v>100200</c:v>
                </c:pt>
                <c:pt idx="1">
                  <c:v>129600</c:v>
                </c:pt>
                <c:pt idx="2">
                  <c:v>259500</c:v>
                </c:pt>
                <c:pt idx="3">
                  <c:v>171600</c:v>
                </c:pt>
                <c:pt idx="4">
                  <c:v>354900</c:v>
                </c:pt>
              </c:numCache>
            </c:numRef>
          </c:val>
        </c:ser>
        <c:ser>
          <c:idx val="2"/>
          <c:order val="2"/>
          <c:tx>
            <c:v>Apptix</c:v>
          </c:tx>
          <c:spPr>
            <a:solidFill>
              <a:schemeClr val="accent6">
                <a:lumMod val="75000"/>
              </a:schemeClr>
            </a:solidFill>
          </c:spPr>
          <c:invertIfNegative val="0"/>
          <c:dLbls>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Graphs!$AG$6:$AG$10</c:f>
              <c:numCache>
                <c:formatCode>"$"#,##0.00</c:formatCode>
                <c:ptCount val="5"/>
                <c:pt idx="0">
                  <c:v>0</c:v>
                </c:pt>
                <c:pt idx="1">
                  <c:v>98700</c:v>
                </c:pt>
                <c:pt idx="2">
                  <c:v>206700</c:v>
                </c:pt>
                <c:pt idx="3">
                  <c:v>146700</c:v>
                </c:pt>
                <c:pt idx="4">
                  <c:v>308700</c:v>
                </c:pt>
              </c:numCache>
            </c:numRef>
          </c:val>
        </c:ser>
        <c:dLbls>
          <c:showLegendKey val="0"/>
          <c:showVal val="1"/>
          <c:showCatName val="0"/>
          <c:showSerName val="0"/>
          <c:showPercent val="0"/>
          <c:showBubbleSize val="0"/>
        </c:dLbls>
        <c:gapWidth val="150"/>
        <c:axId val="49665024"/>
        <c:axId val="145021120"/>
      </c:barChart>
      <c:catAx>
        <c:axId val="49665024"/>
        <c:scaling>
          <c:orientation val="minMax"/>
        </c:scaling>
        <c:delete val="0"/>
        <c:axPos val="b"/>
        <c:numFmt formatCode="General" sourceLinked="0"/>
        <c:majorTickMark val="none"/>
        <c:minorTickMark val="none"/>
        <c:tickLblPos val="nextTo"/>
        <c:crossAx val="145021120"/>
        <c:crosses val="autoZero"/>
        <c:auto val="1"/>
        <c:lblAlgn val="ctr"/>
        <c:lblOffset val="100"/>
        <c:noMultiLvlLbl val="0"/>
      </c:catAx>
      <c:valAx>
        <c:axId val="145021120"/>
        <c:scaling>
          <c:orientation val="minMax"/>
        </c:scaling>
        <c:delete val="0"/>
        <c:axPos val="l"/>
        <c:majorGridlines/>
        <c:numFmt formatCode="&quot;$&quot;#,##0.00" sourceLinked="1"/>
        <c:majorTickMark val="none"/>
        <c:minorTickMark val="none"/>
        <c:tickLblPos val="nextTo"/>
        <c:crossAx val="496650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Costs: Year 1 to 3 Low User Count</a:t>
            </a:r>
            <a:br>
              <a:rPr lang="en-US"/>
            </a:br>
            <a:r>
              <a:rPr lang="en-US" sz="1800" b="1" i="0" u="none" strike="noStrike" baseline="0">
                <a:effectLst/>
              </a:rPr>
              <a:t>(Enterprise Licensing)</a:t>
            </a:r>
            <a:endParaRPr lang="en-US"/>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strRef>
              <c:f>Graphs!$C$110</c:f>
              <c:strCache>
                <c:ptCount val="1"/>
                <c:pt idx="0">
                  <c:v>Office 365 (SP Online Plan 2)</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Graphs!$M$119:$M$123</c:f>
              <c:numCache>
                <c:formatCode>"$"#,##0.00</c:formatCode>
                <c:ptCount val="5"/>
                <c:pt idx="0">
                  <c:v>14400</c:v>
                </c:pt>
                <c:pt idx="1">
                  <c:v>14400</c:v>
                </c:pt>
                <c:pt idx="2">
                  <c:v>28800</c:v>
                </c:pt>
                <c:pt idx="3">
                  <c:v>14400</c:v>
                </c:pt>
                <c:pt idx="4">
                  <c:v>28800</c:v>
                </c:pt>
              </c:numCache>
            </c:numRef>
          </c:val>
        </c:ser>
        <c:ser>
          <c:idx val="2"/>
          <c:order val="1"/>
          <c:tx>
            <c:strRef>
              <c:f>Graphs!$D$110</c:f>
              <c:strCache>
                <c:ptCount val="1"/>
                <c:pt idx="0">
                  <c:v>On Premises</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Graphs!$N$119:$N$123</c:f>
              <c:numCache>
                <c:formatCode>"$"#,##0.00</c:formatCode>
                <c:ptCount val="5"/>
                <c:pt idx="0">
                  <c:v>63941.6196923077</c:v>
                </c:pt>
                <c:pt idx="1">
                  <c:v>91054.256461538462</c:v>
                </c:pt>
                <c:pt idx="2">
                  <c:v>128956.54066666668</c:v>
                </c:pt>
                <c:pt idx="3">
                  <c:v>104879.51715384616</c:v>
                </c:pt>
                <c:pt idx="4">
                  <c:v>156696.19666666666</c:v>
                </c:pt>
              </c:numCache>
            </c:numRef>
          </c:val>
        </c:ser>
        <c:ser>
          <c:idx val="3"/>
          <c:order val="2"/>
          <c:tx>
            <c:strRef>
              <c:f>Graphs!$E$110</c:f>
              <c:strCache>
                <c:ptCount val="1"/>
                <c:pt idx="0">
                  <c:v>Fully Hosted Cloud</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Graphs!$O$119:$O$123</c:f>
              <c:numCache>
                <c:formatCode>"$"#,##0.00</c:formatCode>
                <c:ptCount val="5"/>
                <c:pt idx="0">
                  <c:v>69020</c:v>
                </c:pt>
                <c:pt idx="1">
                  <c:v>86660</c:v>
                </c:pt>
                <c:pt idx="2">
                  <c:v>173500</c:v>
                </c:pt>
                <c:pt idx="3">
                  <c:v>111860</c:v>
                </c:pt>
                <c:pt idx="4">
                  <c:v>230740</c:v>
                </c:pt>
              </c:numCache>
            </c:numRef>
          </c:val>
        </c:ser>
        <c:dLbls>
          <c:showLegendKey val="0"/>
          <c:showVal val="0"/>
          <c:showCatName val="0"/>
          <c:showSerName val="0"/>
          <c:showPercent val="0"/>
          <c:showBubbleSize val="0"/>
        </c:dLbls>
        <c:gapWidth val="75"/>
        <c:shape val="box"/>
        <c:axId val="49665536"/>
        <c:axId val="168927808"/>
        <c:axId val="0"/>
      </c:bar3DChart>
      <c:catAx>
        <c:axId val="49665536"/>
        <c:scaling>
          <c:orientation val="minMax"/>
        </c:scaling>
        <c:delete val="0"/>
        <c:axPos val="b"/>
        <c:numFmt formatCode="General" sourceLinked="0"/>
        <c:majorTickMark val="none"/>
        <c:minorTickMark val="none"/>
        <c:tickLblPos val="nextTo"/>
        <c:crossAx val="168927808"/>
        <c:crosses val="autoZero"/>
        <c:auto val="1"/>
        <c:lblAlgn val="ctr"/>
        <c:lblOffset val="100"/>
        <c:noMultiLvlLbl val="0"/>
      </c:catAx>
      <c:valAx>
        <c:axId val="168927808"/>
        <c:scaling>
          <c:orientation val="minMax"/>
        </c:scaling>
        <c:delete val="0"/>
        <c:axPos val="l"/>
        <c:majorGridlines/>
        <c:numFmt formatCode="&quot;$&quot;#,##0.00" sourceLinked="1"/>
        <c:majorTickMark val="none"/>
        <c:minorTickMark val="none"/>
        <c:tickLblPos val="nextTo"/>
        <c:spPr>
          <a:ln w="9525">
            <a:noFill/>
          </a:ln>
        </c:spPr>
        <c:crossAx val="4966553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Costs</a:t>
            </a:r>
            <a:r>
              <a:rPr lang="en-US" baseline="0"/>
              <a:t>: </a:t>
            </a:r>
            <a:r>
              <a:rPr lang="en-US"/>
              <a:t>Year 1</a:t>
            </a:r>
            <a:r>
              <a:rPr lang="en-US" baseline="0"/>
              <a:t> to 3 High User Count</a:t>
            </a:r>
            <a:br>
              <a:rPr lang="en-US" baseline="0"/>
            </a:br>
            <a:r>
              <a:rPr lang="en-US" sz="1800" b="1" i="0" u="none" strike="noStrike" baseline="0">
                <a:effectLst/>
              </a:rPr>
              <a:t>(Enterprise Licensing)</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strRef>
              <c:f>Graphs!$C$110</c:f>
              <c:strCache>
                <c:ptCount val="1"/>
                <c:pt idx="0">
                  <c:v>Office 365 (SP Online Plan 2)</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Graphs!$Q$119:$Q$123</c:f>
              <c:numCache>
                <c:formatCode>"$"#,##0.00</c:formatCode>
                <c:ptCount val="5"/>
                <c:pt idx="0">
                  <c:v>144000</c:v>
                </c:pt>
                <c:pt idx="1">
                  <c:v>288000</c:v>
                </c:pt>
                <c:pt idx="2">
                  <c:v>576000</c:v>
                </c:pt>
                <c:pt idx="3">
                  <c:v>288000</c:v>
                </c:pt>
                <c:pt idx="4">
                  <c:v>576000</c:v>
                </c:pt>
              </c:numCache>
            </c:numRef>
          </c:val>
        </c:ser>
        <c:ser>
          <c:idx val="2"/>
          <c:order val="1"/>
          <c:tx>
            <c:strRef>
              <c:f>Graphs!$D$110</c:f>
              <c:strCache>
                <c:ptCount val="1"/>
                <c:pt idx="0">
                  <c:v>On Premises</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Graphs!$R$119:$R$123</c:f>
              <c:numCache>
                <c:formatCode>"$"#,##0.00</c:formatCode>
                <c:ptCount val="5"/>
                <c:pt idx="0">
                  <c:v>144041.61969230769</c:v>
                </c:pt>
                <c:pt idx="1">
                  <c:v>260154.25646153846</c:v>
                </c:pt>
                <c:pt idx="2">
                  <c:v>467156.5406666667</c:v>
                </c:pt>
                <c:pt idx="3">
                  <c:v>273979.51715384616</c:v>
                </c:pt>
                <c:pt idx="4">
                  <c:v>494896.19666666666</c:v>
                </c:pt>
              </c:numCache>
            </c:numRef>
          </c:val>
        </c:ser>
        <c:ser>
          <c:idx val="3"/>
          <c:order val="2"/>
          <c:tx>
            <c:strRef>
              <c:f>Graphs!$E$110</c:f>
              <c:strCache>
                <c:ptCount val="1"/>
                <c:pt idx="0">
                  <c:v>Fully Hosted Cloud</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Graphs!$S$119:$S$123</c:f>
              <c:numCache>
                <c:formatCode>"$"#,##0.00</c:formatCode>
                <c:ptCount val="5"/>
                <c:pt idx="0">
                  <c:v>149120</c:v>
                </c:pt>
                <c:pt idx="1">
                  <c:v>255760</c:v>
                </c:pt>
                <c:pt idx="2">
                  <c:v>511700</c:v>
                </c:pt>
                <c:pt idx="3">
                  <c:v>280960</c:v>
                </c:pt>
                <c:pt idx="4">
                  <c:v>568940</c:v>
                </c:pt>
              </c:numCache>
            </c:numRef>
          </c:val>
        </c:ser>
        <c:dLbls>
          <c:showLegendKey val="0"/>
          <c:showVal val="0"/>
          <c:showCatName val="0"/>
          <c:showSerName val="0"/>
          <c:showPercent val="0"/>
          <c:showBubbleSize val="0"/>
        </c:dLbls>
        <c:gapWidth val="75"/>
        <c:shape val="box"/>
        <c:axId val="49666048"/>
        <c:axId val="168930112"/>
        <c:axId val="0"/>
      </c:bar3DChart>
      <c:catAx>
        <c:axId val="49666048"/>
        <c:scaling>
          <c:orientation val="minMax"/>
        </c:scaling>
        <c:delete val="0"/>
        <c:axPos val="b"/>
        <c:numFmt formatCode="General" sourceLinked="0"/>
        <c:majorTickMark val="none"/>
        <c:minorTickMark val="none"/>
        <c:tickLblPos val="nextTo"/>
        <c:crossAx val="168930112"/>
        <c:crosses val="autoZero"/>
        <c:auto val="1"/>
        <c:lblAlgn val="ctr"/>
        <c:lblOffset val="100"/>
        <c:noMultiLvlLbl val="0"/>
      </c:catAx>
      <c:valAx>
        <c:axId val="168930112"/>
        <c:scaling>
          <c:orientation val="minMax"/>
        </c:scaling>
        <c:delete val="0"/>
        <c:axPos val="l"/>
        <c:majorGridlines/>
        <c:numFmt formatCode="&quot;$&quot;#,##0.00" sourceLinked="1"/>
        <c:majorTickMark val="none"/>
        <c:minorTickMark val="none"/>
        <c:tickLblPos val="nextTo"/>
        <c:crossAx val="4966604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Costs: Year 1 to 5 Low User Count</a:t>
            </a:r>
            <a:br>
              <a:rPr lang="en-US"/>
            </a:br>
            <a:r>
              <a:rPr lang="en-US" sz="1800" b="1" i="0" u="none" strike="noStrike" baseline="0">
                <a:effectLst/>
              </a:rPr>
              <a:t>(Enterprise Licensing)</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strRef>
              <c:f>Graphs!$C$110</c:f>
              <c:strCache>
                <c:ptCount val="1"/>
                <c:pt idx="0">
                  <c:v>Office 365 (SP Online Plan 2)</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Graphs!$M$127:$M$131</c:f>
              <c:numCache>
                <c:formatCode>"$"#,##0.00</c:formatCode>
                <c:ptCount val="5"/>
                <c:pt idx="0">
                  <c:v>24000</c:v>
                </c:pt>
                <c:pt idx="1">
                  <c:v>24000</c:v>
                </c:pt>
                <c:pt idx="2">
                  <c:v>48000</c:v>
                </c:pt>
                <c:pt idx="3">
                  <c:v>24000</c:v>
                </c:pt>
                <c:pt idx="4">
                  <c:v>48000</c:v>
                </c:pt>
              </c:numCache>
            </c:numRef>
          </c:val>
        </c:ser>
        <c:ser>
          <c:idx val="2"/>
          <c:order val="1"/>
          <c:tx>
            <c:strRef>
              <c:f>Graphs!$D$110</c:f>
              <c:strCache>
                <c:ptCount val="1"/>
                <c:pt idx="0">
                  <c:v>On Premises</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Graphs!$N$127:$N$131</c:f>
              <c:numCache>
                <c:formatCode>"$"#,##0.00</c:formatCode>
                <c:ptCount val="5"/>
                <c:pt idx="0">
                  <c:v>98722.827692307706</c:v>
                </c:pt>
                <c:pt idx="1">
                  <c:v>143226.06846153847</c:v>
                </c:pt>
                <c:pt idx="2">
                  <c:v>198518.95666666669</c:v>
                </c:pt>
                <c:pt idx="3">
                  <c:v>165746.63115384616</c:v>
                </c:pt>
                <c:pt idx="4">
                  <c:v>243649.21666666667</c:v>
                </c:pt>
              </c:numCache>
            </c:numRef>
          </c:val>
        </c:ser>
        <c:ser>
          <c:idx val="3"/>
          <c:order val="2"/>
          <c:tx>
            <c:strRef>
              <c:f>Graphs!$E$110</c:f>
              <c:strCache>
                <c:ptCount val="1"/>
                <c:pt idx="0">
                  <c:v>Fully Hosted Cloud</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Graphs!$O$127:$O$131</c:f>
              <c:numCache>
                <c:formatCode>"$"#,##0.00</c:formatCode>
                <c:ptCount val="5"/>
                <c:pt idx="0">
                  <c:v>109100</c:v>
                </c:pt>
                <c:pt idx="1">
                  <c:v>138500</c:v>
                </c:pt>
                <c:pt idx="2">
                  <c:v>277300</c:v>
                </c:pt>
                <c:pt idx="3">
                  <c:v>180500</c:v>
                </c:pt>
                <c:pt idx="4">
                  <c:v>372700</c:v>
                </c:pt>
              </c:numCache>
            </c:numRef>
          </c:val>
        </c:ser>
        <c:dLbls>
          <c:showLegendKey val="0"/>
          <c:showVal val="0"/>
          <c:showCatName val="0"/>
          <c:showSerName val="0"/>
          <c:showPercent val="0"/>
          <c:showBubbleSize val="0"/>
        </c:dLbls>
        <c:gapWidth val="75"/>
        <c:shape val="box"/>
        <c:axId val="49666560"/>
        <c:axId val="168934144"/>
        <c:axId val="0"/>
      </c:bar3DChart>
      <c:catAx>
        <c:axId val="49666560"/>
        <c:scaling>
          <c:orientation val="minMax"/>
        </c:scaling>
        <c:delete val="0"/>
        <c:axPos val="b"/>
        <c:numFmt formatCode="General" sourceLinked="0"/>
        <c:majorTickMark val="none"/>
        <c:minorTickMark val="none"/>
        <c:tickLblPos val="nextTo"/>
        <c:crossAx val="168934144"/>
        <c:crosses val="autoZero"/>
        <c:auto val="1"/>
        <c:lblAlgn val="ctr"/>
        <c:lblOffset val="100"/>
        <c:noMultiLvlLbl val="0"/>
      </c:catAx>
      <c:valAx>
        <c:axId val="168934144"/>
        <c:scaling>
          <c:orientation val="minMax"/>
        </c:scaling>
        <c:delete val="0"/>
        <c:axPos val="l"/>
        <c:majorGridlines/>
        <c:numFmt formatCode="&quot;$&quot;#,##0.00" sourceLinked="1"/>
        <c:majorTickMark val="none"/>
        <c:minorTickMark val="none"/>
        <c:tickLblPos val="nextTo"/>
        <c:spPr>
          <a:ln w="9525">
            <a:noFill/>
          </a:ln>
        </c:spPr>
        <c:crossAx val="4966656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Costs</a:t>
            </a:r>
            <a:r>
              <a:rPr lang="en-US" baseline="0"/>
              <a:t>: </a:t>
            </a:r>
            <a:r>
              <a:rPr lang="en-US"/>
              <a:t>Year 1</a:t>
            </a:r>
            <a:r>
              <a:rPr lang="en-US" baseline="0"/>
              <a:t> to 5 High User Count</a:t>
            </a:r>
            <a:br>
              <a:rPr lang="en-US" baseline="0"/>
            </a:br>
            <a:r>
              <a:rPr lang="en-US" sz="1800" b="1" i="0" u="none" strike="noStrike" baseline="0">
                <a:effectLst/>
              </a:rPr>
              <a:t>(Enterprise Licensing)</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strRef>
              <c:f>Graphs!$C$110</c:f>
              <c:strCache>
                <c:ptCount val="1"/>
                <c:pt idx="0">
                  <c:v>Office 365 (SP Online Plan 2)</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Graphs!$Q$127:$Q$131</c:f>
              <c:numCache>
                <c:formatCode>"$"#,##0.00</c:formatCode>
                <c:ptCount val="5"/>
                <c:pt idx="0">
                  <c:v>240000</c:v>
                </c:pt>
                <c:pt idx="1">
                  <c:v>480000</c:v>
                </c:pt>
                <c:pt idx="2">
                  <c:v>960000</c:v>
                </c:pt>
                <c:pt idx="3">
                  <c:v>480000</c:v>
                </c:pt>
                <c:pt idx="4">
                  <c:v>960000</c:v>
                </c:pt>
              </c:numCache>
            </c:numRef>
          </c:val>
        </c:ser>
        <c:ser>
          <c:idx val="2"/>
          <c:order val="1"/>
          <c:tx>
            <c:strRef>
              <c:f>Graphs!$D$110</c:f>
              <c:strCache>
                <c:ptCount val="1"/>
                <c:pt idx="0">
                  <c:v>On Premises</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Graphs!$R$127:$R$131</c:f>
              <c:numCache>
                <c:formatCode>"$"#,##0.00</c:formatCode>
                <c:ptCount val="5"/>
                <c:pt idx="0">
                  <c:v>178822.82769230771</c:v>
                </c:pt>
                <c:pt idx="1">
                  <c:v>312326.06846153847</c:v>
                </c:pt>
                <c:pt idx="2">
                  <c:v>536718.95666666667</c:v>
                </c:pt>
                <c:pt idx="3">
                  <c:v>334846.63115384616</c:v>
                </c:pt>
                <c:pt idx="4">
                  <c:v>581849.21666666667</c:v>
                </c:pt>
              </c:numCache>
            </c:numRef>
          </c:val>
        </c:ser>
        <c:ser>
          <c:idx val="3"/>
          <c:order val="2"/>
          <c:tx>
            <c:strRef>
              <c:f>Graphs!$E$110</c:f>
              <c:strCache>
                <c:ptCount val="1"/>
                <c:pt idx="0">
                  <c:v>Fully Hosted Cloud</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Graphs!$S$127:$S$131</c:f>
              <c:numCache>
                <c:formatCode>"$"#,##0.00</c:formatCode>
                <c:ptCount val="5"/>
                <c:pt idx="0">
                  <c:v>189200</c:v>
                </c:pt>
                <c:pt idx="1">
                  <c:v>307600</c:v>
                </c:pt>
                <c:pt idx="2">
                  <c:v>615500</c:v>
                </c:pt>
                <c:pt idx="3">
                  <c:v>349600</c:v>
                </c:pt>
                <c:pt idx="4">
                  <c:v>710900</c:v>
                </c:pt>
              </c:numCache>
            </c:numRef>
          </c:val>
        </c:ser>
        <c:dLbls>
          <c:showLegendKey val="0"/>
          <c:showVal val="0"/>
          <c:showCatName val="0"/>
          <c:showSerName val="0"/>
          <c:showPercent val="0"/>
          <c:showBubbleSize val="0"/>
        </c:dLbls>
        <c:gapWidth val="75"/>
        <c:shape val="box"/>
        <c:axId val="49667584"/>
        <c:axId val="215893120"/>
        <c:axId val="0"/>
      </c:bar3DChart>
      <c:catAx>
        <c:axId val="49667584"/>
        <c:scaling>
          <c:orientation val="minMax"/>
        </c:scaling>
        <c:delete val="0"/>
        <c:axPos val="b"/>
        <c:numFmt formatCode="General" sourceLinked="0"/>
        <c:majorTickMark val="none"/>
        <c:minorTickMark val="none"/>
        <c:tickLblPos val="nextTo"/>
        <c:crossAx val="215893120"/>
        <c:crosses val="autoZero"/>
        <c:auto val="1"/>
        <c:lblAlgn val="ctr"/>
        <c:lblOffset val="100"/>
        <c:noMultiLvlLbl val="0"/>
      </c:catAx>
      <c:valAx>
        <c:axId val="215893120"/>
        <c:scaling>
          <c:orientation val="minMax"/>
        </c:scaling>
        <c:delete val="0"/>
        <c:axPos val="l"/>
        <c:majorGridlines/>
        <c:numFmt formatCode="&quot;$&quot;#,##0.00" sourceLinked="1"/>
        <c:majorTickMark val="none"/>
        <c:minorTickMark val="none"/>
        <c:tickLblPos val="nextTo"/>
        <c:crossAx val="4966758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Implementation</a:t>
            </a:r>
            <a:r>
              <a:rPr lang="en-US" baseline="0"/>
              <a:t> </a:t>
            </a:r>
            <a:r>
              <a:rPr lang="en-US"/>
              <a:t>Low User Count </a:t>
            </a:r>
            <a:br>
              <a:rPr lang="en-US"/>
            </a:br>
            <a:r>
              <a:rPr lang="en-US"/>
              <a:t>(Standard Licensing)</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strRef>
              <c:f>Graphs!$C$202</c:f>
              <c:strCache>
                <c:ptCount val="1"/>
                <c:pt idx="0">
                  <c:v>Office 365 (SP Online Plan 2)</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Graphs!$C$203:$C$207</c:f>
              <c:numCache>
                <c:formatCode>"$"#,##0.00</c:formatCode>
                <c:ptCount val="5"/>
                <c:pt idx="0">
                  <c:v>200</c:v>
                </c:pt>
                <c:pt idx="1">
                  <c:v>200</c:v>
                </c:pt>
                <c:pt idx="2">
                  <c:v>400</c:v>
                </c:pt>
                <c:pt idx="3">
                  <c:v>200</c:v>
                </c:pt>
                <c:pt idx="4">
                  <c:v>400</c:v>
                </c:pt>
              </c:numCache>
            </c:numRef>
          </c:val>
        </c:ser>
        <c:ser>
          <c:idx val="2"/>
          <c:order val="1"/>
          <c:tx>
            <c:strRef>
              <c:f>Graphs!$D$202</c:f>
              <c:strCache>
                <c:ptCount val="1"/>
                <c:pt idx="0">
                  <c:v>On Premises</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Graphs!$D$203:$D$207</c:f>
              <c:numCache>
                <c:formatCode>"$"#,##0.00</c:formatCode>
                <c:ptCount val="5"/>
                <c:pt idx="0">
                  <c:v>8696.2693581730764</c:v>
                </c:pt>
                <c:pt idx="1">
                  <c:v>10084.607638461539</c:v>
                </c:pt>
                <c:pt idx="2">
                  <c:v>18652.043480729168</c:v>
                </c:pt>
                <c:pt idx="3">
                  <c:v>11157.455469711538</c:v>
                </c:pt>
                <c:pt idx="4">
                  <c:v>20871.893871354168</c:v>
                </c:pt>
              </c:numCache>
            </c:numRef>
          </c:val>
        </c:ser>
        <c:ser>
          <c:idx val="3"/>
          <c:order val="2"/>
          <c:tx>
            <c:strRef>
              <c:f>Graphs!$E$202</c:f>
              <c:strCache>
                <c:ptCount val="1"/>
                <c:pt idx="0">
                  <c:v>Fully Hosted Cloud</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Graphs!$E$203:$E$207</c:f>
              <c:numCache>
                <c:formatCode>"$"#,##0.00</c:formatCode>
                <c:ptCount val="5"/>
                <c:pt idx="0">
                  <c:v>6420</c:v>
                </c:pt>
                <c:pt idx="1">
                  <c:v>6910</c:v>
                </c:pt>
                <c:pt idx="2">
                  <c:v>13825</c:v>
                </c:pt>
                <c:pt idx="3">
                  <c:v>7610</c:v>
                </c:pt>
                <c:pt idx="4">
                  <c:v>15415</c:v>
                </c:pt>
              </c:numCache>
            </c:numRef>
          </c:val>
        </c:ser>
        <c:dLbls>
          <c:showLegendKey val="0"/>
          <c:showVal val="0"/>
          <c:showCatName val="0"/>
          <c:showSerName val="0"/>
          <c:showPercent val="0"/>
          <c:showBubbleSize val="0"/>
        </c:dLbls>
        <c:gapWidth val="75"/>
        <c:shape val="box"/>
        <c:axId val="75657216"/>
        <c:axId val="215895424"/>
        <c:axId val="0"/>
      </c:bar3DChart>
      <c:catAx>
        <c:axId val="75657216"/>
        <c:scaling>
          <c:orientation val="minMax"/>
        </c:scaling>
        <c:delete val="0"/>
        <c:axPos val="b"/>
        <c:numFmt formatCode="General" sourceLinked="0"/>
        <c:majorTickMark val="none"/>
        <c:minorTickMark val="none"/>
        <c:tickLblPos val="nextTo"/>
        <c:crossAx val="215895424"/>
        <c:crosses val="autoZero"/>
        <c:auto val="1"/>
        <c:lblAlgn val="ctr"/>
        <c:lblOffset val="100"/>
        <c:noMultiLvlLbl val="0"/>
      </c:catAx>
      <c:valAx>
        <c:axId val="215895424"/>
        <c:scaling>
          <c:orientation val="minMax"/>
        </c:scaling>
        <c:delete val="0"/>
        <c:axPos val="l"/>
        <c:majorGridlines/>
        <c:numFmt formatCode="&quot;$&quot;#,##0.00" sourceLinked="1"/>
        <c:majorTickMark val="none"/>
        <c:minorTickMark val="none"/>
        <c:tickLblPos val="nextTo"/>
        <c:spPr>
          <a:ln w="9525">
            <a:noFill/>
          </a:ln>
        </c:spPr>
        <c:crossAx val="7565721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Implementation High User Count</a:t>
            </a:r>
            <a:br>
              <a:rPr lang="en-US"/>
            </a:br>
            <a:r>
              <a:rPr lang="en-US" sz="1800" b="1" i="0" u="none" strike="noStrike" baseline="0">
                <a:effectLst/>
              </a:rPr>
              <a:t>(Standard Licensing)</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strRef>
              <c:f>Graphs!$C$202</c:f>
              <c:strCache>
                <c:ptCount val="1"/>
                <c:pt idx="0">
                  <c:v>Office 365 (SP Online Plan 2)</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Graphs!$G$203:$G$207</c:f>
              <c:numCache>
                <c:formatCode>"$"#,##0.00</c:formatCode>
                <c:ptCount val="5"/>
                <c:pt idx="0">
                  <c:v>2000</c:v>
                </c:pt>
                <c:pt idx="1">
                  <c:v>4000</c:v>
                </c:pt>
                <c:pt idx="2">
                  <c:v>8000</c:v>
                </c:pt>
                <c:pt idx="3">
                  <c:v>4000</c:v>
                </c:pt>
                <c:pt idx="4">
                  <c:v>8000</c:v>
                </c:pt>
              </c:numCache>
            </c:numRef>
          </c:val>
        </c:ser>
        <c:ser>
          <c:idx val="2"/>
          <c:order val="1"/>
          <c:tx>
            <c:strRef>
              <c:f>Graphs!$D$110</c:f>
              <c:strCache>
                <c:ptCount val="1"/>
                <c:pt idx="0">
                  <c:v>On Premises</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Graphs!$H$203:$H$207</c:f>
              <c:numCache>
                <c:formatCode>"$"#,##0.00</c:formatCode>
                <c:ptCount val="5"/>
                <c:pt idx="0">
                  <c:v>51446.269358173078</c:v>
                </c:pt>
                <c:pt idx="1">
                  <c:v>100334.60763846154</c:v>
                </c:pt>
                <c:pt idx="2">
                  <c:v>199152.04348072916</c:v>
                </c:pt>
                <c:pt idx="3">
                  <c:v>101407.45546971154</c:v>
                </c:pt>
                <c:pt idx="4">
                  <c:v>201371.89387135417</c:v>
                </c:pt>
              </c:numCache>
            </c:numRef>
          </c:val>
        </c:ser>
        <c:ser>
          <c:idx val="3"/>
          <c:order val="2"/>
          <c:tx>
            <c:strRef>
              <c:f>Graphs!$E$110</c:f>
              <c:strCache>
                <c:ptCount val="1"/>
                <c:pt idx="0">
                  <c:v>Fully Hosted Cloud</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Graphs!$I$203:$I$207</c:f>
              <c:numCache>
                <c:formatCode>"$"#,##0.00</c:formatCode>
                <c:ptCount val="5"/>
                <c:pt idx="0">
                  <c:v>49170</c:v>
                </c:pt>
                <c:pt idx="1">
                  <c:v>97160</c:v>
                </c:pt>
                <c:pt idx="2">
                  <c:v>194325</c:v>
                </c:pt>
                <c:pt idx="3">
                  <c:v>97860</c:v>
                </c:pt>
                <c:pt idx="4">
                  <c:v>195915</c:v>
                </c:pt>
              </c:numCache>
            </c:numRef>
          </c:val>
        </c:ser>
        <c:dLbls>
          <c:showLegendKey val="0"/>
          <c:showVal val="0"/>
          <c:showCatName val="0"/>
          <c:showSerName val="0"/>
          <c:showPercent val="0"/>
          <c:showBubbleSize val="0"/>
        </c:dLbls>
        <c:gapWidth val="75"/>
        <c:shape val="box"/>
        <c:axId val="75658240"/>
        <c:axId val="215897728"/>
        <c:axId val="0"/>
      </c:bar3DChart>
      <c:catAx>
        <c:axId val="75658240"/>
        <c:scaling>
          <c:orientation val="minMax"/>
        </c:scaling>
        <c:delete val="0"/>
        <c:axPos val="b"/>
        <c:numFmt formatCode="General" sourceLinked="0"/>
        <c:majorTickMark val="none"/>
        <c:minorTickMark val="none"/>
        <c:tickLblPos val="nextTo"/>
        <c:crossAx val="215897728"/>
        <c:crosses val="autoZero"/>
        <c:auto val="1"/>
        <c:lblAlgn val="ctr"/>
        <c:lblOffset val="100"/>
        <c:noMultiLvlLbl val="0"/>
      </c:catAx>
      <c:valAx>
        <c:axId val="215897728"/>
        <c:scaling>
          <c:orientation val="minMax"/>
        </c:scaling>
        <c:delete val="0"/>
        <c:axPos val="l"/>
        <c:majorGridlines/>
        <c:numFmt formatCode="&quot;$&quot;#,##0.00" sourceLinked="1"/>
        <c:majorTickMark val="none"/>
        <c:minorTickMark val="none"/>
        <c:tickLblPos val="nextTo"/>
        <c:crossAx val="7565824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Year 1 Low User Count</a:t>
            </a:r>
            <a:br>
              <a:rPr lang="en-US"/>
            </a:br>
            <a:r>
              <a:rPr lang="en-US" sz="1800" b="1" i="0" u="none" strike="noStrike" baseline="0">
                <a:effectLst/>
              </a:rPr>
              <a:t>(Standard Licensing)</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2"/>
          <c:order val="0"/>
          <c:tx>
            <c:strRef>
              <c:f>Graphs!$C$118</c:f>
              <c:strCache>
                <c:ptCount val="1"/>
                <c:pt idx="0">
                  <c:v>Office 365 (SP Online Plan 2)</c:v>
                </c:pt>
              </c:strCache>
            </c:strRef>
          </c:tx>
          <c:spPr>
            <a:solidFill>
              <a:schemeClr val="accent2"/>
            </a:solidFill>
          </c:spPr>
          <c:invertIfNegative val="0"/>
          <c:cat>
            <c:strRef>
              <c:f>Graphs!$A$119:$A$123</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Graphs!$C$119:$C$123</c:f>
              <c:numCache>
                <c:formatCode>"$"#,##0.00</c:formatCode>
                <c:ptCount val="5"/>
                <c:pt idx="0">
                  <c:v>4800</c:v>
                </c:pt>
                <c:pt idx="1">
                  <c:v>4800</c:v>
                </c:pt>
                <c:pt idx="2">
                  <c:v>9600</c:v>
                </c:pt>
                <c:pt idx="3">
                  <c:v>4800</c:v>
                </c:pt>
                <c:pt idx="4">
                  <c:v>9600</c:v>
                </c:pt>
              </c:numCache>
            </c:numRef>
          </c:val>
        </c:ser>
        <c:ser>
          <c:idx val="3"/>
          <c:order val="1"/>
          <c:tx>
            <c:strRef>
              <c:f>Graphs!$D$118</c:f>
              <c:strCache>
                <c:ptCount val="1"/>
                <c:pt idx="0">
                  <c:v>On Premises</c:v>
                </c:pt>
              </c:strCache>
            </c:strRef>
          </c:tx>
          <c:spPr>
            <a:solidFill>
              <a:schemeClr val="accent3"/>
            </a:solidFill>
          </c:spPr>
          <c:invertIfNegative val="0"/>
          <c:cat>
            <c:strRef>
              <c:f>Graphs!$A$119:$A$123</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Graphs!$D$119:$D$123</c:f>
              <c:numCache>
                <c:formatCode>"$"#,##0.00</c:formatCode>
                <c:ptCount val="5"/>
                <c:pt idx="0">
                  <c:v>29160.411692307694</c:v>
                </c:pt>
                <c:pt idx="1">
                  <c:v>38882.444461538456</c:v>
                </c:pt>
                <c:pt idx="2">
                  <c:v>59394.12466666667</c:v>
                </c:pt>
                <c:pt idx="3">
                  <c:v>44012.403153846157</c:v>
                </c:pt>
                <c:pt idx="4">
                  <c:v>69743.176666666666</c:v>
                </c:pt>
              </c:numCache>
            </c:numRef>
          </c:val>
        </c:ser>
        <c:ser>
          <c:idx val="0"/>
          <c:order val="2"/>
          <c:tx>
            <c:strRef>
              <c:f>Graphs!$E$118</c:f>
              <c:strCache>
                <c:ptCount val="1"/>
                <c:pt idx="0">
                  <c:v>Fully Hosted Cloud</c:v>
                </c:pt>
              </c:strCache>
            </c:strRef>
          </c:tx>
          <c:spPr>
            <a:solidFill>
              <a:schemeClr val="accent4"/>
            </a:solidFill>
          </c:spPr>
          <c:invertIfNegative val="0"/>
          <c:cat>
            <c:strRef>
              <c:f>Graphs!$A$119:$A$123</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Graphs!$E$119:$E$123</c:f>
              <c:numCache>
                <c:formatCode>"$"#,##0.00</c:formatCode>
                <c:ptCount val="5"/>
                <c:pt idx="0">
                  <c:v>28940</c:v>
                </c:pt>
                <c:pt idx="1">
                  <c:v>34820</c:v>
                </c:pt>
                <c:pt idx="2">
                  <c:v>69700</c:v>
                </c:pt>
                <c:pt idx="3">
                  <c:v>43220</c:v>
                </c:pt>
                <c:pt idx="4">
                  <c:v>88780</c:v>
                </c:pt>
              </c:numCache>
            </c:numRef>
          </c:val>
        </c:ser>
        <c:dLbls>
          <c:showLegendKey val="0"/>
          <c:showVal val="0"/>
          <c:showCatName val="0"/>
          <c:showSerName val="0"/>
          <c:showPercent val="0"/>
          <c:showBubbleSize val="0"/>
        </c:dLbls>
        <c:gapWidth val="75"/>
        <c:shape val="box"/>
        <c:axId val="75658752"/>
        <c:axId val="224419840"/>
        <c:axId val="0"/>
      </c:bar3DChart>
      <c:catAx>
        <c:axId val="75658752"/>
        <c:scaling>
          <c:orientation val="minMax"/>
        </c:scaling>
        <c:delete val="0"/>
        <c:axPos val="b"/>
        <c:numFmt formatCode="General" sourceLinked="0"/>
        <c:majorTickMark val="none"/>
        <c:minorTickMark val="none"/>
        <c:tickLblPos val="nextTo"/>
        <c:crossAx val="224419840"/>
        <c:crosses val="autoZero"/>
        <c:auto val="1"/>
        <c:lblAlgn val="ctr"/>
        <c:lblOffset val="100"/>
        <c:noMultiLvlLbl val="0"/>
      </c:catAx>
      <c:valAx>
        <c:axId val="224419840"/>
        <c:scaling>
          <c:orientation val="minMax"/>
        </c:scaling>
        <c:delete val="0"/>
        <c:axPos val="l"/>
        <c:majorGridlines/>
        <c:numFmt formatCode="&quot;$&quot;#,##0.00" sourceLinked="1"/>
        <c:majorTickMark val="none"/>
        <c:minorTickMark val="none"/>
        <c:tickLblPos val="nextTo"/>
        <c:crossAx val="7565875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Year 1 High User Count</a:t>
            </a:r>
            <a:br>
              <a:rPr lang="en-US"/>
            </a:br>
            <a:r>
              <a:rPr lang="en-US" sz="1800" b="1" i="0" u="none" strike="noStrike" baseline="0">
                <a:effectLst/>
              </a:rPr>
              <a:t>(Standard Licensing)</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2"/>
          <c:order val="0"/>
          <c:tx>
            <c:strRef>
              <c:f>Graphs!$G$118</c:f>
              <c:strCache>
                <c:ptCount val="1"/>
                <c:pt idx="0">
                  <c:v>Office 365 (SP Online Plan 2) </c:v>
                </c:pt>
              </c:strCache>
            </c:strRef>
          </c:tx>
          <c:spPr>
            <a:solidFill>
              <a:schemeClr val="accent2"/>
            </a:solidFill>
          </c:spPr>
          <c:invertIfNegative val="0"/>
          <c:cat>
            <c:strRef>
              <c:f>Graphs!$A$119:$A$123</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Graphs!$G$211:$G$215</c:f>
              <c:numCache>
                <c:formatCode>"$"#,##0.00</c:formatCode>
                <c:ptCount val="5"/>
                <c:pt idx="0">
                  <c:v>24000</c:v>
                </c:pt>
                <c:pt idx="1">
                  <c:v>48000</c:v>
                </c:pt>
                <c:pt idx="2">
                  <c:v>96000</c:v>
                </c:pt>
                <c:pt idx="3">
                  <c:v>48000</c:v>
                </c:pt>
                <c:pt idx="4">
                  <c:v>96000</c:v>
                </c:pt>
              </c:numCache>
            </c:numRef>
          </c:val>
        </c:ser>
        <c:ser>
          <c:idx val="3"/>
          <c:order val="1"/>
          <c:tx>
            <c:strRef>
              <c:f>Graphs!$H$118</c:f>
              <c:strCache>
                <c:ptCount val="1"/>
                <c:pt idx="0">
                  <c:v>On Premises  </c:v>
                </c:pt>
              </c:strCache>
            </c:strRef>
          </c:tx>
          <c:spPr>
            <a:solidFill>
              <a:schemeClr val="accent3"/>
            </a:solidFill>
          </c:spPr>
          <c:invertIfNegative val="0"/>
          <c:cat>
            <c:strRef>
              <c:f>Graphs!$A$119:$A$123</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Graphs!$H$211:$H$215</c:f>
              <c:numCache>
                <c:formatCode>"$"#,##0.00</c:formatCode>
                <c:ptCount val="5"/>
                <c:pt idx="0">
                  <c:v>67760.411692307694</c:v>
                </c:pt>
                <c:pt idx="1">
                  <c:v>124982.44446153846</c:v>
                </c:pt>
                <c:pt idx="2">
                  <c:v>231594.12466666667</c:v>
                </c:pt>
                <c:pt idx="3">
                  <c:v>130112.40315384616</c:v>
                </c:pt>
                <c:pt idx="4">
                  <c:v>241943.17666666667</c:v>
                </c:pt>
              </c:numCache>
            </c:numRef>
          </c:val>
        </c:ser>
        <c:ser>
          <c:idx val="0"/>
          <c:order val="2"/>
          <c:tx>
            <c:strRef>
              <c:f>Graphs!$I$118</c:f>
              <c:strCache>
                <c:ptCount val="1"/>
                <c:pt idx="0">
                  <c:v>Fully Hosted Cloud  </c:v>
                </c:pt>
              </c:strCache>
            </c:strRef>
          </c:tx>
          <c:spPr>
            <a:solidFill>
              <a:schemeClr val="accent4"/>
            </a:solidFill>
          </c:spPr>
          <c:invertIfNegative val="0"/>
          <c:cat>
            <c:strRef>
              <c:f>Graphs!$A$119:$A$123</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Graphs!$I$211:$I$215</c:f>
              <c:numCache>
                <c:formatCode>"$"#,##0.00</c:formatCode>
                <c:ptCount val="5"/>
                <c:pt idx="0">
                  <c:v>67540</c:v>
                </c:pt>
                <c:pt idx="1">
                  <c:v>120920</c:v>
                </c:pt>
                <c:pt idx="2">
                  <c:v>241900</c:v>
                </c:pt>
                <c:pt idx="3">
                  <c:v>129320</c:v>
                </c:pt>
                <c:pt idx="4">
                  <c:v>260980</c:v>
                </c:pt>
              </c:numCache>
            </c:numRef>
          </c:val>
        </c:ser>
        <c:dLbls>
          <c:showLegendKey val="0"/>
          <c:showVal val="0"/>
          <c:showCatName val="0"/>
          <c:showSerName val="0"/>
          <c:showPercent val="0"/>
          <c:showBubbleSize val="0"/>
        </c:dLbls>
        <c:gapWidth val="75"/>
        <c:shape val="box"/>
        <c:axId val="75659264"/>
        <c:axId val="224422144"/>
        <c:axId val="0"/>
      </c:bar3DChart>
      <c:catAx>
        <c:axId val="75659264"/>
        <c:scaling>
          <c:orientation val="minMax"/>
        </c:scaling>
        <c:delete val="0"/>
        <c:axPos val="b"/>
        <c:numFmt formatCode="General" sourceLinked="0"/>
        <c:majorTickMark val="none"/>
        <c:minorTickMark val="none"/>
        <c:tickLblPos val="nextTo"/>
        <c:crossAx val="224422144"/>
        <c:crosses val="autoZero"/>
        <c:auto val="1"/>
        <c:lblAlgn val="ctr"/>
        <c:lblOffset val="100"/>
        <c:noMultiLvlLbl val="0"/>
      </c:catAx>
      <c:valAx>
        <c:axId val="224422144"/>
        <c:scaling>
          <c:orientation val="minMax"/>
        </c:scaling>
        <c:delete val="0"/>
        <c:axPos val="l"/>
        <c:majorGridlines/>
        <c:numFmt formatCode="&quot;$&quot;#,##0.00" sourceLinked="1"/>
        <c:majorTickMark val="none"/>
        <c:minorTickMark val="none"/>
        <c:tickLblPos val="nextTo"/>
        <c:spPr>
          <a:ln w="9525">
            <a:noFill/>
          </a:ln>
        </c:spPr>
        <c:crossAx val="7565926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SharePoint</a:t>
            </a:r>
            <a:r>
              <a:rPr lang="en-US" baseline="0"/>
              <a:t> - </a:t>
            </a:r>
            <a:r>
              <a:rPr lang="en-US"/>
              <a:t>Medium Farm (1 WFE, 1 App/Index, 1 SQL)</a:t>
            </a:r>
          </a:p>
        </c:rich>
      </c:tx>
      <c:layout/>
      <c:overlay val="0"/>
    </c:title>
    <c:autoTitleDeleted val="0"/>
    <c:plotArea>
      <c:layout/>
      <c:lineChart>
        <c:grouping val="standard"/>
        <c:varyColors val="0"/>
        <c:ser>
          <c:idx val="0"/>
          <c:order val="0"/>
          <c:tx>
            <c:v>Low Estimates</c:v>
          </c:tx>
          <c:marker>
            <c:symbol val="none"/>
          </c:marker>
          <c:cat>
            <c:strRef>
              <c:f>'Professional Service Estimates'!$G$18:$G$30</c:f>
              <c:strCache>
                <c:ptCount val="13"/>
                <c:pt idx="0">
                  <c:v>Firm A</c:v>
                </c:pt>
                <c:pt idx="1">
                  <c:v>Firm B</c:v>
                </c:pt>
                <c:pt idx="2">
                  <c:v>Firm C</c:v>
                </c:pt>
                <c:pt idx="3">
                  <c:v>Firm D</c:v>
                </c:pt>
                <c:pt idx="4">
                  <c:v>Firm E</c:v>
                </c:pt>
                <c:pt idx="5">
                  <c:v>Firm F</c:v>
                </c:pt>
                <c:pt idx="6">
                  <c:v>Firm G</c:v>
                </c:pt>
                <c:pt idx="7">
                  <c:v>Firm H</c:v>
                </c:pt>
                <c:pt idx="8">
                  <c:v>Firm I</c:v>
                </c:pt>
                <c:pt idx="9">
                  <c:v>Firm J</c:v>
                </c:pt>
                <c:pt idx="10">
                  <c:v>Firm K</c:v>
                </c:pt>
                <c:pt idx="11">
                  <c:v>Firm L</c:v>
                </c:pt>
                <c:pt idx="12">
                  <c:v>Firm M</c:v>
                </c:pt>
              </c:strCache>
            </c:strRef>
          </c:cat>
          <c:val>
            <c:numRef>
              <c:f>'Professional Service Estimates'!$E$71:$E$83</c:f>
              <c:numCache>
                <c:formatCode>"$"#,##0.00</c:formatCode>
                <c:ptCount val="13"/>
                <c:pt idx="0">
                  <c:v>2700</c:v>
                </c:pt>
                <c:pt idx="1">
                  <c:v>2640</c:v>
                </c:pt>
                <c:pt idx="2">
                  <c:v>3600</c:v>
                </c:pt>
                <c:pt idx="3">
                  <c:v>7920</c:v>
                </c:pt>
                <c:pt idx="4">
                  <c:v>3000</c:v>
                </c:pt>
                <c:pt idx="5">
                  <c:v>2800</c:v>
                </c:pt>
                <c:pt idx="6">
                  <c:v>4800</c:v>
                </c:pt>
                <c:pt idx="7">
                  <c:v>3240</c:v>
                </c:pt>
                <c:pt idx="8">
                  <c:v>6600</c:v>
                </c:pt>
                <c:pt idx="9">
                  <c:v>4440</c:v>
                </c:pt>
                <c:pt idx="10">
                  <c:v>3000</c:v>
                </c:pt>
                <c:pt idx="11">
                  <c:v>1600</c:v>
                </c:pt>
                <c:pt idx="12">
                  <c:v>3200</c:v>
                </c:pt>
              </c:numCache>
            </c:numRef>
          </c:val>
          <c:smooth val="0"/>
        </c:ser>
        <c:ser>
          <c:idx val="1"/>
          <c:order val="1"/>
          <c:tx>
            <c:v>High Estimates</c:v>
          </c:tx>
          <c:marker>
            <c:symbol val="none"/>
          </c:marker>
          <c:val>
            <c:numRef>
              <c:f>'Professional Service Estimates'!$F$71:$F$83</c:f>
              <c:numCache>
                <c:formatCode>"$"#,##0.00</c:formatCode>
                <c:ptCount val="13"/>
                <c:pt idx="0">
                  <c:v>3600</c:v>
                </c:pt>
                <c:pt idx="1">
                  <c:v>3480</c:v>
                </c:pt>
                <c:pt idx="2">
                  <c:v>8400</c:v>
                </c:pt>
                <c:pt idx="3">
                  <c:v>11880</c:v>
                </c:pt>
                <c:pt idx="4">
                  <c:v>4200</c:v>
                </c:pt>
                <c:pt idx="5">
                  <c:v>5600</c:v>
                </c:pt>
                <c:pt idx="6">
                  <c:v>6000</c:v>
                </c:pt>
                <c:pt idx="7">
                  <c:v>5400</c:v>
                </c:pt>
                <c:pt idx="8">
                  <c:v>6600</c:v>
                </c:pt>
                <c:pt idx="9">
                  <c:v>5550</c:v>
                </c:pt>
                <c:pt idx="10">
                  <c:v>4200</c:v>
                </c:pt>
                <c:pt idx="11">
                  <c:v>2400</c:v>
                </c:pt>
                <c:pt idx="12">
                  <c:v>4800</c:v>
                </c:pt>
              </c:numCache>
            </c:numRef>
          </c:val>
          <c:smooth val="0"/>
        </c:ser>
        <c:dLbls>
          <c:showLegendKey val="0"/>
          <c:showVal val="0"/>
          <c:showCatName val="0"/>
          <c:showSerName val="0"/>
          <c:showPercent val="0"/>
          <c:showBubbleSize val="0"/>
        </c:dLbls>
        <c:marker val="1"/>
        <c:smooth val="0"/>
        <c:axId val="66493440"/>
        <c:axId val="140131648"/>
      </c:lineChart>
      <c:catAx>
        <c:axId val="66493440"/>
        <c:scaling>
          <c:orientation val="minMax"/>
        </c:scaling>
        <c:delete val="0"/>
        <c:axPos val="b"/>
        <c:numFmt formatCode="General" sourceLinked="0"/>
        <c:majorTickMark val="none"/>
        <c:minorTickMark val="none"/>
        <c:tickLblPos val="nextTo"/>
        <c:crossAx val="140131648"/>
        <c:crosses val="autoZero"/>
        <c:auto val="1"/>
        <c:lblAlgn val="ctr"/>
        <c:lblOffset val="100"/>
        <c:noMultiLvlLbl val="0"/>
      </c:catAx>
      <c:valAx>
        <c:axId val="140131648"/>
        <c:scaling>
          <c:orientation val="minMax"/>
        </c:scaling>
        <c:delete val="0"/>
        <c:axPos val="l"/>
        <c:majorGridlines/>
        <c:title>
          <c:tx>
            <c:rich>
              <a:bodyPr/>
              <a:lstStyle/>
              <a:p>
                <a:pPr>
                  <a:defRPr/>
                </a:pPr>
                <a:r>
                  <a:rPr lang="en-US"/>
                  <a:t>Professional Services</a:t>
                </a:r>
              </a:p>
            </c:rich>
          </c:tx>
          <c:layout/>
          <c:overlay val="0"/>
        </c:title>
        <c:numFmt formatCode="&quot;$&quot;#,##0.00" sourceLinked="1"/>
        <c:majorTickMark val="none"/>
        <c:minorTickMark val="none"/>
        <c:tickLblPos val="nextTo"/>
        <c:crossAx val="6649344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Year 2 Low User Count</a:t>
            </a:r>
            <a:br>
              <a:rPr lang="en-US"/>
            </a:br>
            <a:r>
              <a:rPr lang="en-US" sz="1800" b="1" i="0" u="none" strike="noStrike" baseline="0">
                <a:effectLst/>
              </a:rPr>
              <a:t>(Standard Licensing)</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2"/>
          <c:order val="0"/>
          <c:tx>
            <c:strRef>
              <c:f>Graphs!$C$126</c:f>
              <c:strCache>
                <c:ptCount val="1"/>
                <c:pt idx="0">
                  <c:v>Office 365 (SP Online Plan 2)</c:v>
                </c:pt>
              </c:strCache>
            </c:strRef>
          </c:tx>
          <c:spPr>
            <a:solidFill>
              <a:schemeClr val="accent2"/>
            </a:solidFill>
          </c:spPr>
          <c:invertIfNegative val="0"/>
          <c:cat>
            <c:strRef>
              <c:f>Graphs!$A$127:$A$131</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Graphs!$C$219:$C$223</c:f>
              <c:numCache>
                <c:formatCode>"$"#,##0.00</c:formatCode>
                <c:ptCount val="5"/>
                <c:pt idx="0">
                  <c:v>2400</c:v>
                </c:pt>
                <c:pt idx="1">
                  <c:v>2400</c:v>
                </c:pt>
                <c:pt idx="2">
                  <c:v>4800</c:v>
                </c:pt>
                <c:pt idx="3">
                  <c:v>2400</c:v>
                </c:pt>
                <c:pt idx="4">
                  <c:v>4800</c:v>
                </c:pt>
              </c:numCache>
            </c:numRef>
          </c:val>
        </c:ser>
        <c:ser>
          <c:idx val="3"/>
          <c:order val="1"/>
          <c:tx>
            <c:strRef>
              <c:f>Graphs!$D$126</c:f>
              <c:strCache>
                <c:ptCount val="1"/>
                <c:pt idx="0">
                  <c:v>On Premises</c:v>
                </c:pt>
              </c:strCache>
            </c:strRef>
          </c:tx>
          <c:spPr>
            <a:solidFill>
              <a:schemeClr val="accent3"/>
            </a:solidFill>
          </c:spPr>
          <c:invertIfNegative val="0"/>
          <c:cat>
            <c:strRef>
              <c:f>Graphs!$A$127:$A$131</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Graphs!$D$219:$D$223</c:f>
              <c:numCache>
                <c:formatCode>"$"#,##0.00</c:formatCode>
                <c:ptCount val="5"/>
                <c:pt idx="0">
                  <c:v>17390.604000000003</c:v>
                </c:pt>
                <c:pt idx="1">
                  <c:v>26085.905999999999</c:v>
                </c:pt>
                <c:pt idx="2">
                  <c:v>34781.208000000006</c:v>
                </c:pt>
                <c:pt idx="3">
                  <c:v>30433.557000000001</c:v>
                </c:pt>
                <c:pt idx="4">
                  <c:v>43476.51</c:v>
                </c:pt>
              </c:numCache>
            </c:numRef>
          </c:val>
        </c:ser>
        <c:ser>
          <c:idx val="0"/>
          <c:order val="2"/>
          <c:tx>
            <c:strRef>
              <c:f>Graphs!$E$126</c:f>
              <c:strCache>
                <c:ptCount val="1"/>
                <c:pt idx="0">
                  <c:v>Fully Hosted Cloud</c:v>
                </c:pt>
              </c:strCache>
            </c:strRef>
          </c:tx>
          <c:spPr>
            <a:solidFill>
              <a:schemeClr val="accent4"/>
            </a:solidFill>
          </c:spPr>
          <c:invertIfNegative val="0"/>
          <c:cat>
            <c:strRef>
              <c:f>Graphs!$A$127:$A$131</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Graphs!$E$219:$E$223</c:f>
              <c:numCache>
                <c:formatCode>"$"#,##0.00</c:formatCode>
                <c:ptCount val="5"/>
                <c:pt idx="0">
                  <c:v>20040</c:v>
                </c:pt>
                <c:pt idx="1">
                  <c:v>25920</c:v>
                </c:pt>
                <c:pt idx="2">
                  <c:v>51900</c:v>
                </c:pt>
                <c:pt idx="3">
                  <c:v>34320</c:v>
                </c:pt>
                <c:pt idx="4">
                  <c:v>70980</c:v>
                </c:pt>
              </c:numCache>
            </c:numRef>
          </c:val>
        </c:ser>
        <c:dLbls>
          <c:showLegendKey val="0"/>
          <c:showVal val="0"/>
          <c:showCatName val="0"/>
          <c:showSerName val="0"/>
          <c:showPercent val="0"/>
          <c:showBubbleSize val="0"/>
        </c:dLbls>
        <c:gapWidth val="75"/>
        <c:shape val="box"/>
        <c:axId val="75659776"/>
        <c:axId val="224424448"/>
        <c:axId val="0"/>
      </c:bar3DChart>
      <c:catAx>
        <c:axId val="75659776"/>
        <c:scaling>
          <c:orientation val="minMax"/>
        </c:scaling>
        <c:delete val="0"/>
        <c:axPos val="b"/>
        <c:numFmt formatCode="General" sourceLinked="0"/>
        <c:majorTickMark val="none"/>
        <c:minorTickMark val="none"/>
        <c:tickLblPos val="nextTo"/>
        <c:crossAx val="224424448"/>
        <c:crosses val="autoZero"/>
        <c:auto val="1"/>
        <c:lblAlgn val="ctr"/>
        <c:lblOffset val="100"/>
        <c:noMultiLvlLbl val="0"/>
      </c:catAx>
      <c:valAx>
        <c:axId val="224424448"/>
        <c:scaling>
          <c:orientation val="minMax"/>
        </c:scaling>
        <c:delete val="0"/>
        <c:axPos val="l"/>
        <c:majorGridlines/>
        <c:numFmt formatCode="&quot;$&quot;#,##0.00" sourceLinked="1"/>
        <c:majorTickMark val="none"/>
        <c:minorTickMark val="none"/>
        <c:tickLblPos val="nextTo"/>
        <c:spPr>
          <a:ln w="9525">
            <a:noFill/>
          </a:ln>
        </c:spPr>
        <c:crossAx val="7565977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Year 2 High User Count</a:t>
            </a:r>
            <a:br>
              <a:rPr lang="en-US"/>
            </a:br>
            <a:r>
              <a:rPr lang="en-US" sz="1800" b="1" i="0" u="none" strike="noStrike" baseline="0">
                <a:effectLst/>
              </a:rPr>
              <a:t>(Standard Licensing)</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2"/>
          <c:order val="0"/>
          <c:tx>
            <c:strRef>
              <c:f>Graphs!$G$126</c:f>
              <c:strCache>
                <c:ptCount val="1"/>
                <c:pt idx="0">
                  <c:v>Office 365 (SP Online Plan 2) </c:v>
                </c:pt>
              </c:strCache>
            </c:strRef>
          </c:tx>
          <c:spPr>
            <a:solidFill>
              <a:schemeClr val="accent2"/>
            </a:solidFill>
          </c:spPr>
          <c:invertIfNegative val="0"/>
          <c:cat>
            <c:strRef>
              <c:f>Graphs!$A$127:$A$131</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Graphs!$G$219:$G$223</c:f>
              <c:numCache>
                <c:formatCode>"$"#,##0.00</c:formatCode>
                <c:ptCount val="5"/>
                <c:pt idx="0">
                  <c:v>24000</c:v>
                </c:pt>
                <c:pt idx="1">
                  <c:v>48000</c:v>
                </c:pt>
                <c:pt idx="2">
                  <c:v>96000</c:v>
                </c:pt>
                <c:pt idx="3">
                  <c:v>48000</c:v>
                </c:pt>
                <c:pt idx="4">
                  <c:v>96000</c:v>
                </c:pt>
              </c:numCache>
            </c:numRef>
          </c:val>
        </c:ser>
        <c:ser>
          <c:idx val="3"/>
          <c:order val="1"/>
          <c:tx>
            <c:strRef>
              <c:f>Graphs!$H$126</c:f>
              <c:strCache>
                <c:ptCount val="1"/>
                <c:pt idx="0">
                  <c:v>On Premises </c:v>
                </c:pt>
              </c:strCache>
            </c:strRef>
          </c:tx>
          <c:spPr>
            <a:solidFill>
              <a:schemeClr val="accent3"/>
            </a:solidFill>
          </c:spPr>
          <c:invertIfNegative val="0"/>
          <c:cat>
            <c:strRef>
              <c:f>Graphs!$A$127:$A$131</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Graphs!$H$219:$H$223</c:f>
              <c:numCache>
                <c:formatCode>"$"#,##0.00</c:formatCode>
                <c:ptCount val="5"/>
                <c:pt idx="0">
                  <c:v>17390.604000000003</c:v>
                </c:pt>
                <c:pt idx="1">
                  <c:v>26085.905999999999</c:v>
                </c:pt>
                <c:pt idx="2">
                  <c:v>34781.208000000006</c:v>
                </c:pt>
                <c:pt idx="3">
                  <c:v>30433.557000000001</c:v>
                </c:pt>
                <c:pt idx="4">
                  <c:v>43476.51</c:v>
                </c:pt>
              </c:numCache>
            </c:numRef>
          </c:val>
        </c:ser>
        <c:ser>
          <c:idx val="0"/>
          <c:order val="2"/>
          <c:tx>
            <c:strRef>
              <c:f>Graphs!$I$126</c:f>
              <c:strCache>
                <c:ptCount val="1"/>
                <c:pt idx="0">
                  <c:v>Fully Hosted Cloud   </c:v>
                </c:pt>
              </c:strCache>
            </c:strRef>
          </c:tx>
          <c:spPr>
            <a:solidFill>
              <a:schemeClr val="accent4"/>
            </a:solidFill>
          </c:spPr>
          <c:invertIfNegative val="0"/>
          <c:cat>
            <c:strRef>
              <c:f>Graphs!$A$127:$A$131</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Graphs!$I$219:$I$223</c:f>
              <c:numCache>
                <c:formatCode>"$"#,##0.00</c:formatCode>
                <c:ptCount val="5"/>
                <c:pt idx="0">
                  <c:v>20040</c:v>
                </c:pt>
                <c:pt idx="1">
                  <c:v>25920</c:v>
                </c:pt>
                <c:pt idx="2">
                  <c:v>51900</c:v>
                </c:pt>
                <c:pt idx="3">
                  <c:v>34320</c:v>
                </c:pt>
                <c:pt idx="4">
                  <c:v>70980</c:v>
                </c:pt>
              </c:numCache>
            </c:numRef>
          </c:val>
        </c:ser>
        <c:dLbls>
          <c:showLegendKey val="0"/>
          <c:showVal val="0"/>
          <c:showCatName val="0"/>
          <c:showSerName val="0"/>
          <c:showPercent val="0"/>
          <c:showBubbleSize val="0"/>
        </c:dLbls>
        <c:gapWidth val="75"/>
        <c:shape val="box"/>
        <c:axId val="75660288"/>
        <c:axId val="224426752"/>
        <c:axId val="0"/>
      </c:bar3DChart>
      <c:catAx>
        <c:axId val="75660288"/>
        <c:scaling>
          <c:orientation val="minMax"/>
        </c:scaling>
        <c:delete val="0"/>
        <c:axPos val="b"/>
        <c:numFmt formatCode="General" sourceLinked="0"/>
        <c:majorTickMark val="none"/>
        <c:minorTickMark val="none"/>
        <c:tickLblPos val="nextTo"/>
        <c:crossAx val="224426752"/>
        <c:crosses val="autoZero"/>
        <c:auto val="1"/>
        <c:lblAlgn val="ctr"/>
        <c:lblOffset val="100"/>
        <c:noMultiLvlLbl val="0"/>
      </c:catAx>
      <c:valAx>
        <c:axId val="224426752"/>
        <c:scaling>
          <c:orientation val="minMax"/>
        </c:scaling>
        <c:delete val="0"/>
        <c:axPos val="l"/>
        <c:majorGridlines/>
        <c:numFmt formatCode="&quot;$&quot;#,##0.00" sourceLinked="1"/>
        <c:majorTickMark val="none"/>
        <c:minorTickMark val="none"/>
        <c:tickLblPos val="nextTo"/>
        <c:spPr>
          <a:ln w="9525">
            <a:noFill/>
          </a:ln>
        </c:spPr>
        <c:crossAx val="7566028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Costs: Year 1 to 3 Low User Count</a:t>
            </a:r>
            <a:br>
              <a:rPr lang="en-US"/>
            </a:br>
            <a:r>
              <a:rPr lang="en-US" sz="1800" b="1" i="0" u="none" strike="noStrike" baseline="0">
                <a:effectLst/>
              </a:rPr>
              <a:t>(Standard Licensing)</a:t>
            </a:r>
            <a:endParaRPr lang="en-US"/>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strRef>
              <c:f>Graphs!$C$110</c:f>
              <c:strCache>
                <c:ptCount val="1"/>
                <c:pt idx="0">
                  <c:v>Office 365 (SP Online Plan 2)</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Graphs!$M$211:$M$215</c:f>
              <c:numCache>
                <c:formatCode>"$"#,##0.00</c:formatCode>
                <c:ptCount val="5"/>
                <c:pt idx="0">
                  <c:v>7200</c:v>
                </c:pt>
                <c:pt idx="1">
                  <c:v>7200</c:v>
                </c:pt>
                <c:pt idx="2">
                  <c:v>14400</c:v>
                </c:pt>
                <c:pt idx="3">
                  <c:v>7200</c:v>
                </c:pt>
                <c:pt idx="4">
                  <c:v>14400</c:v>
                </c:pt>
              </c:numCache>
            </c:numRef>
          </c:val>
        </c:ser>
        <c:ser>
          <c:idx val="2"/>
          <c:order val="1"/>
          <c:tx>
            <c:strRef>
              <c:f>Graphs!$D$110</c:f>
              <c:strCache>
                <c:ptCount val="1"/>
                <c:pt idx="0">
                  <c:v>On Premises</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Graphs!$N$211:$N$215</c:f>
              <c:numCache>
                <c:formatCode>"$"#,##0.00</c:formatCode>
                <c:ptCount val="5"/>
                <c:pt idx="0">
                  <c:v>59791.6196923077</c:v>
                </c:pt>
                <c:pt idx="1">
                  <c:v>86904.256461538462</c:v>
                </c:pt>
                <c:pt idx="2">
                  <c:v>120656.54066666668</c:v>
                </c:pt>
                <c:pt idx="3">
                  <c:v>100729.51715384616</c:v>
                </c:pt>
                <c:pt idx="4">
                  <c:v>148396.19666666666</c:v>
                </c:pt>
              </c:numCache>
            </c:numRef>
          </c:val>
        </c:ser>
        <c:ser>
          <c:idx val="3"/>
          <c:order val="2"/>
          <c:tx>
            <c:strRef>
              <c:f>Graphs!$E$110</c:f>
              <c:strCache>
                <c:ptCount val="1"/>
                <c:pt idx="0">
                  <c:v>Fully Hosted Cloud</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Graphs!$O$211:$O$215</c:f>
              <c:numCache>
                <c:formatCode>"$"#,##0.00</c:formatCode>
                <c:ptCount val="5"/>
                <c:pt idx="0">
                  <c:v>64870</c:v>
                </c:pt>
                <c:pt idx="1">
                  <c:v>82510</c:v>
                </c:pt>
                <c:pt idx="2">
                  <c:v>165200</c:v>
                </c:pt>
                <c:pt idx="3">
                  <c:v>107710</c:v>
                </c:pt>
                <c:pt idx="4">
                  <c:v>222440</c:v>
                </c:pt>
              </c:numCache>
            </c:numRef>
          </c:val>
        </c:ser>
        <c:dLbls>
          <c:showLegendKey val="0"/>
          <c:showVal val="0"/>
          <c:showCatName val="0"/>
          <c:showSerName val="0"/>
          <c:showPercent val="0"/>
          <c:showBubbleSize val="0"/>
        </c:dLbls>
        <c:gapWidth val="75"/>
        <c:shape val="box"/>
        <c:axId val="75660800"/>
        <c:axId val="249750656"/>
        <c:axId val="0"/>
      </c:bar3DChart>
      <c:catAx>
        <c:axId val="75660800"/>
        <c:scaling>
          <c:orientation val="minMax"/>
        </c:scaling>
        <c:delete val="0"/>
        <c:axPos val="b"/>
        <c:numFmt formatCode="General" sourceLinked="0"/>
        <c:majorTickMark val="none"/>
        <c:minorTickMark val="none"/>
        <c:tickLblPos val="nextTo"/>
        <c:crossAx val="249750656"/>
        <c:crosses val="autoZero"/>
        <c:auto val="1"/>
        <c:lblAlgn val="ctr"/>
        <c:lblOffset val="100"/>
        <c:noMultiLvlLbl val="0"/>
      </c:catAx>
      <c:valAx>
        <c:axId val="249750656"/>
        <c:scaling>
          <c:orientation val="minMax"/>
        </c:scaling>
        <c:delete val="0"/>
        <c:axPos val="l"/>
        <c:majorGridlines/>
        <c:numFmt formatCode="&quot;$&quot;#,##0.00" sourceLinked="1"/>
        <c:majorTickMark val="none"/>
        <c:minorTickMark val="none"/>
        <c:tickLblPos val="nextTo"/>
        <c:spPr>
          <a:ln w="9525">
            <a:noFill/>
          </a:ln>
        </c:spPr>
        <c:crossAx val="7566080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Costs</a:t>
            </a:r>
            <a:r>
              <a:rPr lang="en-US" baseline="0"/>
              <a:t>: </a:t>
            </a:r>
            <a:r>
              <a:rPr lang="en-US"/>
              <a:t>Year 1</a:t>
            </a:r>
            <a:r>
              <a:rPr lang="en-US" baseline="0"/>
              <a:t> to 3 High User Count</a:t>
            </a:r>
            <a:br>
              <a:rPr lang="en-US" baseline="0"/>
            </a:br>
            <a:r>
              <a:rPr lang="en-US" sz="1800" b="1" i="0" u="none" strike="noStrike" baseline="0">
                <a:effectLst/>
              </a:rPr>
              <a:t>(Standard Licensing)</a:t>
            </a:r>
            <a:endParaRPr lang="en-US"/>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strRef>
              <c:f>Graphs!$C$110</c:f>
              <c:strCache>
                <c:ptCount val="1"/>
                <c:pt idx="0">
                  <c:v>Office 365 (SP Online Plan 2)</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Graphs!$Q$211:$Q$215</c:f>
              <c:numCache>
                <c:formatCode>"$"#,##0.00</c:formatCode>
                <c:ptCount val="5"/>
                <c:pt idx="0">
                  <c:v>72000</c:v>
                </c:pt>
                <c:pt idx="1">
                  <c:v>144000</c:v>
                </c:pt>
                <c:pt idx="2">
                  <c:v>288000</c:v>
                </c:pt>
                <c:pt idx="3">
                  <c:v>144000</c:v>
                </c:pt>
                <c:pt idx="4">
                  <c:v>288000</c:v>
                </c:pt>
              </c:numCache>
            </c:numRef>
          </c:val>
        </c:ser>
        <c:ser>
          <c:idx val="2"/>
          <c:order val="1"/>
          <c:tx>
            <c:strRef>
              <c:f>Graphs!$D$110</c:f>
              <c:strCache>
                <c:ptCount val="1"/>
                <c:pt idx="0">
                  <c:v>On Premises</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Graphs!$R$211:$R$215</c:f>
              <c:numCache>
                <c:formatCode>"$"#,##0.00</c:formatCode>
                <c:ptCount val="5"/>
                <c:pt idx="0">
                  <c:v>102541.61969230769</c:v>
                </c:pt>
                <c:pt idx="1">
                  <c:v>177154.25646153846</c:v>
                </c:pt>
                <c:pt idx="2">
                  <c:v>301156.5406666667</c:v>
                </c:pt>
                <c:pt idx="3">
                  <c:v>190979.51715384616</c:v>
                </c:pt>
                <c:pt idx="4">
                  <c:v>328896.19666666666</c:v>
                </c:pt>
              </c:numCache>
            </c:numRef>
          </c:val>
        </c:ser>
        <c:ser>
          <c:idx val="3"/>
          <c:order val="2"/>
          <c:tx>
            <c:strRef>
              <c:f>Graphs!$E$110</c:f>
              <c:strCache>
                <c:ptCount val="1"/>
                <c:pt idx="0">
                  <c:v>Fully Hosted Cloud</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Graphs!$S$211:$S$215</c:f>
              <c:numCache>
                <c:formatCode>"$"#,##0.00</c:formatCode>
                <c:ptCount val="5"/>
                <c:pt idx="0">
                  <c:v>107620</c:v>
                </c:pt>
                <c:pt idx="1">
                  <c:v>172760</c:v>
                </c:pt>
                <c:pt idx="2">
                  <c:v>345700</c:v>
                </c:pt>
                <c:pt idx="3">
                  <c:v>197960</c:v>
                </c:pt>
                <c:pt idx="4">
                  <c:v>402940</c:v>
                </c:pt>
              </c:numCache>
            </c:numRef>
          </c:val>
        </c:ser>
        <c:dLbls>
          <c:showLegendKey val="0"/>
          <c:showVal val="0"/>
          <c:showCatName val="0"/>
          <c:showSerName val="0"/>
          <c:showPercent val="0"/>
          <c:showBubbleSize val="0"/>
        </c:dLbls>
        <c:gapWidth val="75"/>
        <c:shape val="box"/>
        <c:axId val="94924800"/>
        <c:axId val="249752384"/>
        <c:axId val="0"/>
      </c:bar3DChart>
      <c:catAx>
        <c:axId val="94924800"/>
        <c:scaling>
          <c:orientation val="minMax"/>
        </c:scaling>
        <c:delete val="0"/>
        <c:axPos val="b"/>
        <c:numFmt formatCode="General" sourceLinked="0"/>
        <c:majorTickMark val="none"/>
        <c:minorTickMark val="none"/>
        <c:tickLblPos val="nextTo"/>
        <c:crossAx val="249752384"/>
        <c:crosses val="autoZero"/>
        <c:auto val="1"/>
        <c:lblAlgn val="ctr"/>
        <c:lblOffset val="100"/>
        <c:noMultiLvlLbl val="0"/>
      </c:catAx>
      <c:valAx>
        <c:axId val="249752384"/>
        <c:scaling>
          <c:orientation val="minMax"/>
        </c:scaling>
        <c:delete val="0"/>
        <c:axPos val="l"/>
        <c:majorGridlines/>
        <c:numFmt formatCode="&quot;$&quot;#,##0.00" sourceLinked="1"/>
        <c:majorTickMark val="none"/>
        <c:minorTickMark val="none"/>
        <c:tickLblPos val="nextTo"/>
        <c:crossAx val="9492480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Costs: Year 1 to 5 Low User Count</a:t>
            </a:r>
            <a:br>
              <a:rPr lang="en-US"/>
            </a:br>
            <a:r>
              <a:rPr lang="en-US" sz="1800" b="1" i="0" u="none" strike="noStrike" baseline="0">
                <a:effectLst/>
              </a:rPr>
              <a:t>(Standard Licensing)</a:t>
            </a:r>
            <a:endParaRPr lang="en-US"/>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strRef>
              <c:f>Graphs!$C$110</c:f>
              <c:strCache>
                <c:ptCount val="1"/>
                <c:pt idx="0">
                  <c:v>Office 365 (SP Online Plan 2)</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Graphs!$M$219:$M$223</c:f>
              <c:numCache>
                <c:formatCode>"$"#,##0.00</c:formatCode>
                <c:ptCount val="5"/>
                <c:pt idx="0">
                  <c:v>12000</c:v>
                </c:pt>
                <c:pt idx="1">
                  <c:v>12000</c:v>
                </c:pt>
                <c:pt idx="2">
                  <c:v>24000</c:v>
                </c:pt>
                <c:pt idx="3">
                  <c:v>12000</c:v>
                </c:pt>
                <c:pt idx="4">
                  <c:v>24000</c:v>
                </c:pt>
              </c:numCache>
            </c:numRef>
          </c:val>
        </c:ser>
        <c:ser>
          <c:idx val="2"/>
          <c:order val="1"/>
          <c:tx>
            <c:strRef>
              <c:f>Graphs!$D$110</c:f>
              <c:strCache>
                <c:ptCount val="1"/>
                <c:pt idx="0">
                  <c:v>On Premises</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Graphs!$N$219:$N$223</c:f>
              <c:numCache>
                <c:formatCode>"$"#,##0.00</c:formatCode>
                <c:ptCount val="5"/>
                <c:pt idx="0">
                  <c:v>94572.827692307706</c:v>
                </c:pt>
                <c:pt idx="1">
                  <c:v>139076.06846153847</c:v>
                </c:pt>
                <c:pt idx="2">
                  <c:v>190218.95666666669</c:v>
                </c:pt>
                <c:pt idx="3">
                  <c:v>161596.63115384616</c:v>
                </c:pt>
                <c:pt idx="4">
                  <c:v>235349.21666666667</c:v>
                </c:pt>
              </c:numCache>
            </c:numRef>
          </c:val>
        </c:ser>
        <c:ser>
          <c:idx val="3"/>
          <c:order val="2"/>
          <c:tx>
            <c:strRef>
              <c:f>Graphs!$E$110</c:f>
              <c:strCache>
                <c:ptCount val="1"/>
                <c:pt idx="0">
                  <c:v>Fully Hosted Cloud</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Graphs!$O$219:$O$223</c:f>
              <c:numCache>
                <c:formatCode>"$"#,##0.00</c:formatCode>
                <c:ptCount val="5"/>
                <c:pt idx="0">
                  <c:v>104950</c:v>
                </c:pt>
                <c:pt idx="1">
                  <c:v>134350</c:v>
                </c:pt>
                <c:pt idx="2">
                  <c:v>269000</c:v>
                </c:pt>
                <c:pt idx="3">
                  <c:v>176350</c:v>
                </c:pt>
                <c:pt idx="4">
                  <c:v>364400</c:v>
                </c:pt>
              </c:numCache>
            </c:numRef>
          </c:val>
        </c:ser>
        <c:dLbls>
          <c:showLegendKey val="0"/>
          <c:showVal val="0"/>
          <c:showCatName val="0"/>
          <c:showSerName val="0"/>
          <c:showPercent val="0"/>
          <c:showBubbleSize val="0"/>
        </c:dLbls>
        <c:gapWidth val="75"/>
        <c:shape val="box"/>
        <c:axId val="75657728"/>
        <c:axId val="249754688"/>
        <c:axId val="0"/>
      </c:bar3DChart>
      <c:catAx>
        <c:axId val="75657728"/>
        <c:scaling>
          <c:orientation val="minMax"/>
        </c:scaling>
        <c:delete val="0"/>
        <c:axPos val="b"/>
        <c:numFmt formatCode="General" sourceLinked="0"/>
        <c:majorTickMark val="none"/>
        <c:minorTickMark val="none"/>
        <c:tickLblPos val="nextTo"/>
        <c:crossAx val="249754688"/>
        <c:crosses val="autoZero"/>
        <c:auto val="1"/>
        <c:lblAlgn val="ctr"/>
        <c:lblOffset val="100"/>
        <c:noMultiLvlLbl val="0"/>
      </c:catAx>
      <c:valAx>
        <c:axId val="249754688"/>
        <c:scaling>
          <c:orientation val="minMax"/>
        </c:scaling>
        <c:delete val="0"/>
        <c:axPos val="l"/>
        <c:majorGridlines/>
        <c:numFmt formatCode="&quot;$&quot;#,##0.00" sourceLinked="1"/>
        <c:majorTickMark val="none"/>
        <c:minorTickMark val="none"/>
        <c:tickLblPos val="nextTo"/>
        <c:spPr>
          <a:ln w="9525">
            <a:noFill/>
          </a:ln>
        </c:spPr>
        <c:crossAx val="75657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Costs</a:t>
            </a:r>
            <a:r>
              <a:rPr lang="en-US" baseline="0"/>
              <a:t>: </a:t>
            </a:r>
            <a:r>
              <a:rPr lang="en-US"/>
              <a:t>Year 1</a:t>
            </a:r>
            <a:r>
              <a:rPr lang="en-US" baseline="0"/>
              <a:t> to 5 High User Count</a:t>
            </a:r>
            <a:br>
              <a:rPr lang="en-US" baseline="0"/>
            </a:br>
            <a:r>
              <a:rPr lang="en-US" sz="1800" b="1" i="0" u="none" strike="noStrike" baseline="0">
                <a:effectLst/>
              </a:rPr>
              <a:t>(Standard Licensing)</a:t>
            </a:r>
            <a:endParaRPr lang="en-US"/>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strRef>
              <c:f>Graphs!$C$110</c:f>
              <c:strCache>
                <c:ptCount val="1"/>
                <c:pt idx="0">
                  <c:v>Office 365 (SP Online Plan 2)</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Graphs!$Q$219:$Q$223</c:f>
              <c:numCache>
                <c:formatCode>"$"#,##0.00</c:formatCode>
                <c:ptCount val="5"/>
                <c:pt idx="0">
                  <c:v>120000</c:v>
                </c:pt>
                <c:pt idx="1">
                  <c:v>240000</c:v>
                </c:pt>
                <c:pt idx="2">
                  <c:v>480000</c:v>
                </c:pt>
                <c:pt idx="3">
                  <c:v>240000</c:v>
                </c:pt>
                <c:pt idx="4">
                  <c:v>480000</c:v>
                </c:pt>
              </c:numCache>
            </c:numRef>
          </c:val>
        </c:ser>
        <c:ser>
          <c:idx val="2"/>
          <c:order val="1"/>
          <c:tx>
            <c:strRef>
              <c:f>Graphs!$D$110</c:f>
              <c:strCache>
                <c:ptCount val="1"/>
                <c:pt idx="0">
                  <c:v>On Premises</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Graphs!$R$219:$R$223</c:f>
              <c:numCache>
                <c:formatCode>"$"#,##0.00</c:formatCode>
                <c:ptCount val="5"/>
                <c:pt idx="0">
                  <c:v>137322.82769230771</c:v>
                </c:pt>
                <c:pt idx="1">
                  <c:v>229326.06846153847</c:v>
                </c:pt>
                <c:pt idx="2">
                  <c:v>370718.95666666667</c:v>
                </c:pt>
                <c:pt idx="3">
                  <c:v>251846.63115384616</c:v>
                </c:pt>
                <c:pt idx="4">
                  <c:v>415849.21666666667</c:v>
                </c:pt>
              </c:numCache>
            </c:numRef>
          </c:val>
        </c:ser>
        <c:ser>
          <c:idx val="3"/>
          <c:order val="2"/>
          <c:tx>
            <c:strRef>
              <c:f>Graphs!$E$110</c:f>
              <c:strCache>
                <c:ptCount val="1"/>
                <c:pt idx="0">
                  <c:v>Fully Hosted Cloud</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Graphs!$S$219:$S$223</c:f>
              <c:numCache>
                <c:formatCode>"$"#,##0.00</c:formatCode>
                <c:ptCount val="5"/>
                <c:pt idx="0">
                  <c:v>147700</c:v>
                </c:pt>
                <c:pt idx="1">
                  <c:v>224600</c:v>
                </c:pt>
                <c:pt idx="2">
                  <c:v>449500</c:v>
                </c:pt>
                <c:pt idx="3">
                  <c:v>266600</c:v>
                </c:pt>
                <c:pt idx="4">
                  <c:v>544900</c:v>
                </c:pt>
              </c:numCache>
            </c:numRef>
          </c:val>
        </c:ser>
        <c:dLbls>
          <c:showLegendKey val="0"/>
          <c:showVal val="0"/>
          <c:showCatName val="0"/>
          <c:showSerName val="0"/>
          <c:showPercent val="0"/>
          <c:showBubbleSize val="0"/>
        </c:dLbls>
        <c:gapWidth val="75"/>
        <c:shape val="box"/>
        <c:axId val="94925312"/>
        <c:axId val="45424640"/>
        <c:axId val="0"/>
      </c:bar3DChart>
      <c:catAx>
        <c:axId val="94925312"/>
        <c:scaling>
          <c:orientation val="minMax"/>
        </c:scaling>
        <c:delete val="0"/>
        <c:axPos val="b"/>
        <c:numFmt formatCode="General" sourceLinked="0"/>
        <c:majorTickMark val="none"/>
        <c:minorTickMark val="none"/>
        <c:tickLblPos val="nextTo"/>
        <c:crossAx val="45424640"/>
        <c:crosses val="autoZero"/>
        <c:auto val="1"/>
        <c:lblAlgn val="ctr"/>
        <c:lblOffset val="100"/>
        <c:noMultiLvlLbl val="0"/>
      </c:catAx>
      <c:valAx>
        <c:axId val="45424640"/>
        <c:scaling>
          <c:orientation val="minMax"/>
        </c:scaling>
        <c:delete val="0"/>
        <c:axPos val="l"/>
        <c:majorGridlines/>
        <c:numFmt formatCode="&quot;$&quot;#,##0.00" sourceLinked="1"/>
        <c:majorTickMark val="none"/>
        <c:minorTickMark val="none"/>
        <c:tickLblPos val="nextTo"/>
        <c:crossAx val="9492531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Implementation</a:t>
            </a:r>
            <a:r>
              <a:rPr lang="en-US" baseline="0"/>
              <a:t> </a:t>
            </a:r>
            <a:r>
              <a:rPr lang="en-US"/>
              <a:t>Low User Count </a:t>
            </a:r>
            <a:r>
              <a:rPr lang="en-US" sz="1800" b="1" i="0" baseline="0">
                <a:effectLst/>
              </a:rPr>
              <a:t>(Enterprise Licensing w/ SA)</a:t>
            </a:r>
            <a:endParaRPr lang="en-US">
              <a:effectLst/>
            </a:endParaRP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strRef>
              <c:f>Graphs!$C$110</c:f>
              <c:strCache>
                <c:ptCount val="1"/>
                <c:pt idx="0">
                  <c:v>Office 365 (SP Online Plan 2)</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Graphs!$C$295:$C$299</c:f>
              <c:numCache>
                <c:formatCode>"$"#,##0.00</c:formatCode>
                <c:ptCount val="5"/>
                <c:pt idx="0">
                  <c:v>400</c:v>
                </c:pt>
                <c:pt idx="1">
                  <c:v>400</c:v>
                </c:pt>
                <c:pt idx="2">
                  <c:v>800</c:v>
                </c:pt>
                <c:pt idx="3">
                  <c:v>400</c:v>
                </c:pt>
                <c:pt idx="4">
                  <c:v>800</c:v>
                </c:pt>
              </c:numCache>
            </c:numRef>
          </c:val>
        </c:ser>
        <c:ser>
          <c:idx val="2"/>
          <c:order val="1"/>
          <c:tx>
            <c:strRef>
              <c:f>Graphs!$D$110</c:f>
              <c:strCache>
                <c:ptCount val="1"/>
                <c:pt idx="0">
                  <c:v>On Premises</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Graphs!$D$295:$D$299</c:f>
              <c:numCache>
                <c:formatCode>"$"#,##0.00</c:formatCode>
                <c:ptCount val="5"/>
                <c:pt idx="0">
                  <c:v>17296.269358173078</c:v>
                </c:pt>
                <c:pt idx="1">
                  <c:v>18684.607638461537</c:v>
                </c:pt>
                <c:pt idx="2">
                  <c:v>35852.043480729168</c:v>
                </c:pt>
                <c:pt idx="3">
                  <c:v>19757.455469711538</c:v>
                </c:pt>
                <c:pt idx="4">
                  <c:v>38071.893871354172</c:v>
                </c:pt>
              </c:numCache>
            </c:numRef>
          </c:val>
        </c:ser>
        <c:ser>
          <c:idx val="3"/>
          <c:order val="2"/>
          <c:tx>
            <c:strRef>
              <c:f>Graphs!$E$110</c:f>
              <c:strCache>
                <c:ptCount val="1"/>
                <c:pt idx="0">
                  <c:v>Fully Hosted Cloud</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Graphs!$E$295:$E$299</c:f>
              <c:numCache>
                <c:formatCode>"$"#,##0.00</c:formatCode>
                <c:ptCount val="5"/>
                <c:pt idx="0">
                  <c:v>15020</c:v>
                </c:pt>
                <c:pt idx="1">
                  <c:v>15510</c:v>
                </c:pt>
                <c:pt idx="2">
                  <c:v>31025</c:v>
                </c:pt>
                <c:pt idx="3">
                  <c:v>16210</c:v>
                </c:pt>
                <c:pt idx="4">
                  <c:v>32615</c:v>
                </c:pt>
              </c:numCache>
            </c:numRef>
          </c:val>
        </c:ser>
        <c:dLbls>
          <c:showLegendKey val="0"/>
          <c:showVal val="0"/>
          <c:showCatName val="0"/>
          <c:showSerName val="0"/>
          <c:showPercent val="0"/>
          <c:showBubbleSize val="0"/>
        </c:dLbls>
        <c:gapWidth val="75"/>
        <c:shape val="box"/>
        <c:axId val="94925824"/>
        <c:axId val="45426368"/>
        <c:axId val="0"/>
      </c:bar3DChart>
      <c:catAx>
        <c:axId val="94925824"/>
        <c:scaling>
          <c:orientation val="minMax"/>
        </c:scaling>
        <c:delete val="0"/>
        <c:axPos val="b"/>
        <c:numFmt formatCode="General" sourceLinked="0"/>
        <c:majorTickMark val="none"/>
        <c:minorTickMark val="none"/>
        <c:tickLblPos val="nextTo"/>
        <c:crossAx val="45426368"/>
        <c:crosses val="autoZero"/>
        <c:auto val="1"/>
        <c:lblAlgn val="ctr"/>
        <c:lblOffset val="100"/>
        <c:noMultiLvlLbl val="0"/>
      </c:catAx>
      <c:valAx>
        <c:axId val="45426368"/>
        <c:scaling>
          <c:orientation val="minMax"/>
        </c:scaling>
        <c:delete val="0"/>
        <c:axPos val="l"/>
        <c:majorGridlines/>
        <c:numFmt formatCode="&quot;$&quot;#,##0.00" sourceLinked="1"/>
        <c:majorTickMark val="none"/>
        <c:minorTickMark val="none"/>
        <c:tickLblPos val="nextTo"/>
        <c:spPr>
          <a:ln w="9525">
            <a:noFill/>
          </a:ln>
        </c:spPr>
        <c:crossAx val="9492582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Implementation High User Count </a:t>
            </a:r>
            <a:r>
              <a:rPr lang="en-US" sz="1800" b="1" i="0" u="none" strike="noStrike" baseline="0">
                <a:effectLst/>
              </a:rPr>
              <a:t>(Enterprise Licensing w/ SA)</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strRef>
              <c:f>Graphs!$C$110</c:f>
              <c:strCache>
                <c:ptCount val="1"/>
                <c:pt idx="0">
                  <c:v>Office 365 (SP Online Plan 2)</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Graphs!$G$295:$G$299</c:f>
              <c:numCache>
                <c:formatCode>"$"#,##0.00</c:formatCode>
                <c:ptCount val="5"/>
                <c:pt idx="0">
                  <c:v>4000</c:v>
                </c:pt>
                <c:pt idx="1">
                  <c:v>8000</c:v>
                </c:pt>
                <c:pt idx="2">
                  <c:v>16000</c:v>
                </c:pt>
                <c:pt idx="3">
                  <c:v>8000</c:v>
                </c:pt>
                <c:pt idx="4">
                  <c:v>16000</c:v>
                </c:pt>
              </c:numCache>
            </c:numRef>
          </c:val>
        </c:ser>
        <c:ser>
          <c:idx val="2"/>
          <c:order val="1"/>
          <c:tx>
            <c:strRef>
              <c:f>Graphs!$D$110</c:f>
              <c:strCache>
                <c:ptCount val="1"/>
                <c:pt idx="0">
                  <c:v>On Premises</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Graphs!$H$295:$H$299</c:f>
              <c:numCache>
                <c:formatCode>"$"#,##0.00</c:formatCode>
                <c:ptCount val="5"/>
                <c:pt idx="0">
                  <c:v>137446.26935817307</c:v>
                </c:pt>
                <c:pt idx="1">
                  <c:v>272334.60763846152</c:v>
                </c:pt>
                <c:pt idx="2">
                  <c:v>543152.04348072922</c:v>
                </c:pt>
                <c:pt idx="3">
                  <c:v>273407.45546971157</c:v>
                </c:pt>
                <c:pt idx="4">
                  <c:v>545371.89387135417</c:v>
                </c:pt>
              </c:numCache>
            </c:numRef>
          </c:val>
        </c:ser>
        <c:ser>
          <c:idx val="3"/>
          <c:order val="2"/>
          <c:tx>
            <c:strRef>
              <c:f>Graphs!$E$110</c:f>
              <c:strCache>
                <c:ptCount val="1"/>
                <c:pt idx="0">
                  <c:v>Fully Hosted Cloud</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Graphs!$I$295:$I$299</c:f>
              <c:numCache>
                <c:formatCode>"$"#,##0.00</c:formatCode>
                <c:ptCount val="5"/>
                <c:pt idx="0">
                  <c:v>135170</c:v>
                </c:pt>
                <c:pt idx="1">
                  <c:v>269160</c:v>
                </c:pt>
                <c:pt idx="2">
                  <c:v>538325</c:v>
                </c:pt>
                <c:pt idx="3">
                  <c:v>269860</c:v>
                </c:pt>
                <c:pt idx="4">
                  <c:v>539915</c:v>
                </c:pt>
              </c:numCache>
            </c:numRef>
          </c:val>
        </c:ser>
        <c:dLbls>
          <c:showLegendKey val="0"/>
          <c:showVal val="0"/>
          <c:showCatName val="0"/>
          <c:showSerName val="0"/>
          <c:showPercent val="0"/>
          <c:showBubbleSize val="0"/>
        </c:dLbls>
        <c:gapWidth val="75"/>
        <c:shape val="box"/>
        <c:axId val="94926336"/>
        <c:axId val="45428672"/>
        <c:axId val="0"/>
      </c:bar3DChart>
      <c:catAx>
        <c:axId val="94926336"/>
        <c:scaling>
          <c:orientation val="minMax"/>
        </c:scaling>
        <c:delete val="0"/>
        <c:axPos val="b"/>
        <c:numFmt formatCode="General" sourceLinked="0"/>
        <c:majorTickMark val="none"/>
        <c:minorTickMark val="none"/>
        <c:tickLblPos val="nextTo"/>
        <c:crossAx val="45428672"/>
        <c:crosses val="autoZero"/>
        <c:auto val="1"/>
        <c:lblAlgn val="ctr"/>
        <c:lblOffset val="100"/>
        <c:noMultiLvlLbl val="0"/>
      </c:catAx>
      <c:valAx>
        <c:axId val="45428672"/>
        <c:scaling>
          <c:orientation val="minMax"/>
        </c:scaling>
        <c:delete val="0"/>
        <c:axPos val="l"/>
        <c:majorGridlines/>
        <c:numFmt formatCode="&quot;$&quot;#,##0.00" sourceLinked="1"/>
        <c:majorTickMark val="none"/>
        <c:minorTickMark val="none"/>
        <c:tickLblPos val="nextTo"/>
        <c:crossAx val="9492633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Year 1 Low User Count </a:t>
            </a:r>
            <a:br>
              <a:rPr lang="en-US"/>
            </a:br>
            <a:r>
              <a:rPr lang="en-US" sz="1800" b="1" i="0" baseline="0">
                <a:effectLst/>
              </a:rPr>
              <a:t>(Enterprise Licensing </a:t>
            </a:r>
            <a:r>
              <a:rPr lang="en-US" sz="1800" b="1" i="0" u="none" strike="noStrike" baseline="0">
                <a:effectLst/>
              </a:rPr>
              <a:t>w/ SA</a:t>
            </a:r>
            <a:r>
              <a:rPr lang="en-US" sz="1800" b="1" i="0" baseline="0">
                <a:effectLst/>
              </a:rPr>
              <a:t>)</a:t>
            </a:r>
            <a:endParaRPr lang="en-US">
              <a:effectLst/>
            </a:endParaRP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2"/>
          <c:order val="0"/>
          <c:tx>
            <c:strRef>
              <c:f>Graphs!$C$118</c:f>
              <c:strCache>
                <c:ptCount val="1"/>
                <c:pt idx="0">
                  <c:v>Office 365 (SP Online Plan 2)</c:v>
                </c:pt>
              </c:strCache>
            </c:strRef>
          </c:tx>
          <c:spPr>
            <a:solidFill>
              <a:schemeClr val="accent2"/>
            </a:solidFill>
          </c:spPr>
          <c:invertIfNegative val="0"/>
          <c:cat>
            <c:strRef>
              <c:f>Graphs!$A$119:$A$123</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Graphs!$C$303:$C$307</c:f>
              <c:numCache>
                <c:formatCode>"$"#,##0.00</c:formatCode>
                <c:ptCount val="5"/>
                <c:pt idx="0">
                  <c:v>4800</c:v>
                </c:pt>
                <c:pt idx="1">
                  <c:v>4800</c:v>
                </c:pt>
                <c:pt idx="2">
                  <c:v>9600</c:v>
                </c:pt>
                <c:pt idx="3">
                  <c:v>4800</c:v>
                </c:pt>
                <c:pt idx="4">
                  <c:v>9600</c:v>
                </c:pt>
              </c:numCache>
            </c:numRef>
          </c:val>
        </c:ser>
        <c:ser>
          <c:idx val="3"/>
          <c:order val="1"/>
          <c:tx>
            <c:strRef>
              <c:f>Graphs!$D$118</c:f>
              <c:strCache>
                <c:ptCount val="1"/>
                <c:pt idx="0">
                  <c:v>On Premises</c:v>
                </c:pt>
              </c:strCache>
            </c:strRef>
          </c:tx>
          <c:spPr>
            <a:solidFill>
              <a:schemeClr val="accent3"/>
            </a:solidFill>
          </c:spPr>
          <c:invertIfNegative val="0"/>
          <c:cat>
            <c:strRef>
              <c:f>Graphs!$A$119:$A$123</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Graphs!$D$303:$D$307</c:f>
              <c:numCache>
                <c:formatCode>"$"#,##0.00</c:formatCode>
                <c:ptCount val="5"/>
                <c:pt idx="0">
                  <c:v>33610.411692307694</c:v>
                </c:pt>
                <c:pt idx="1">
                  <c:v>43332.444461538456</c:v>
                </c:pt>
                <c:pt idx="2">
                  <c:v>68294.12466666667</c:v>
                </c:pt>
                <c:pt idx="3">
                  <c:v>48462.403153846157</c:v>
                </c:pt>
                <c:pt idx="4">
                  <c:v>78643.176666666666</c:v>
                </c:pt>
              </c:numCache>
            </c:numRef>
          </c:val>
        </c:ser>
        <c:ser>
          <c:idx val="0"/>
          <c:order val="2"/>
          <c:tx>
            <c:strRef>
              <c:f>Graphs!$E$118</c:f>
              <c:strCache>
                <c:ptCount val="1"/>
                <c:pt idx="0">
                  <c:v>Fully Hosted Cloud</c:v>
                </c:pt>
              </c:strCache>
            </c:strRef>
          </c:tx>
          <c:spPr>
            <a:solidFill>
              <a:schemeClr val="accent4"/>
            </a:solidFill>
          </c:spPr>
          <c:invertIfNegative val="0"/>
          <c:cat>
            <c:strRef>
              <c:f>Graphs!$A$119:$A$123</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Graphs!$E$303:$E$307</c:f>
              <c:numCache>
                <c:formatCode>"$"#,##0.00</c:formatCode>
                <c:ptCount val="5"/>
                <c:pt idx="0">
                  <c:v>33390</c:v>
                </c:pt>
                <c:pt idx="1">
                  <c:v>39270</c:v>
                </c:pt>
                <c:pt idx="2">
                  <c:v>78600</c:v>
                </c:pt>
                <c:pt idx="3">
                  <c:v>47670</c:v>
                </c:pt>
                <c:pt idx="4">
                  <c:v>97680</c:v>
                </c:pt>
              </c:numCache>
            </c:numRef>
          </c:val>
        </c:ser>
        <c:dLbls>
          <c:showLegendKey val="0"/>
          <c:showVal val="0"/>
          <c:showCatName val="0"/>
          <c:showSerName val="0"/>
          <c:showPercent val="0"/>
          <c:showBubbleSize val="0"/>
        </c:dLbls>
        <c:gapWidth val="75"/>
        <c:shape val="box"/>
        <c:axId val="94926848"/>
        <c:axId val="45430976"/>
        <c:axId val="0"/>
      </c:bar3DChart>
      <c:catAx>
        <c:axId val="94926848"/>
        <c:scaling>
          <c:orientation val="minMax"/>
        </c:scaling>
        <c:delete val="0"/>
        <c:axPos val="b"/>
        <c:numFmt formatCode="General" sourceLinked="0"/>
        <c:majorTickMark val="none"/>
        <c:minorTickMark val="none"/>
        <c:tickLblPos val="nextTo"/>
        <c:crossAx val="45430976"/>
        <c:crosses val="autoZero"/>
        <c:auto val="1"/>
        <c:lblAlgn val="ctr"/>
        <c:lblOffset val="100"/>
        <c:noMultiLvlLbl val="0"/>
      </c:catAx>
      <c:valAx>
        <c:axId val="45430976"/>
        <c:scaling>
          <c:orientation val="minMax"/>
        </c:scaling>
        <c:delete val="0"/>
        <c:axPos val="l"/>
        <c:majorGridlines/>
        <c:numFmt formatCode="&quot;$&quot;#,##0.00" sourceLinked="1"/>
        <c:majorTickMark val="none"/>
        <c:minorTickMark val="none"/>
        <c:tickLblPos val="nextTo"/>
        <c:crossAx val="9492684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Year 1 High User Count</a:t>
            </a:r>
            <a:br>
              <a:rPr lang="en-US"/>
            </a:br>
            <a:r>
              <a:rPr lang="en-US" sz="1800" b="1" i="0" u="none" strike="noStrike" baseline="0">
                <a:effectLst/>
              </a:rPr>
              <a:t>(Enterprise Licensing w/ SA)</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2"/>
          <c:order val="0"/>
          <c:tx>
            <c:strRef>
              <c:f>Graphs!$G$118</c:f>
              <c:strCache>
                <c:ptCount val="1"/>
                <c:pt idx="0">
                  <c:v>Office 365 (SP Online Plan 2) </c:v>
                </c:pt>
              </c:strCache>
            </c:strRef>
          </c:tx>
          <c:spPr>
            <a:solidFill>
              <a:schemeClr val="accent2"/>
            </a:solidFill>
          </c:spPr>
          <c:invertIfNegative val="0"/>
          <c:cat>
            <c:strRef>
              <c:f>Graphs!$A$119:$A$123</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Graphs!$G$303:$G$307</c:f>
              <c:numCache>
                <c:formatCode>"$"#,##0.00</c:formatCode>
                <c:ptCount val="5"/>
                <c:pt idx="0">
                  <c:v>48000</c:v>
                </c:pt>
                <c:pt idx="1">
                  <c:v>96000</c:v>
                </c:pt>
                <c:pt idx="2">
                  <c:v>192000</c:v>
                </c:pt>
                <c:pt idx="3">
                  <c:v>96000</c:v>
                </c:pt>
                <c:pt idx="4">
                  <c:v>192000</c:v>
                </c:pt>
              </c:numCache>
            </c:numRef>
          </c:val>
        </c:ser>
        <c:ser>
          <c:idx val="3"/>
          <c:order val="1"/>
          <c:tx>
            <c:strRef>
              <c:f>Graphs!$H$118</c:f>
              <c:strCache>
                <c:ptCount val="1"/>
                <c:pt idx="0">
                  <c:v>On Premises  </c:v>
                </c:pt>
              </c:strCache>
            </c:strRef>
          </c:tx>
          <c:spPr>
            <a:solidFill>
              <a:schemeClr val="accent3"/>
            </a:solidFill>
          </c:spPr>
          <c:invertIfNegative val="0"/>
          <c:cat>
            <c:strRef>
              <c:f>Graphs!$A$119:$A$123</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Graphs!$H$303:$H$307</c:f>
              <c:numCache>
                <c:formatCode>"$"#,##0.00</c:formatCode>
                <c:ptCount val="5"/>
                <c:pt idx="0">
                  <c:v>153760.41169230768</c:v>
                </c:pt>
                <c:pt idx="1">
                  <c:v>296982.44446153846</c:v>
                </c:pt>
                <c:pt idx="2">
                  <c:v>575594.12466666661</c:v>
                </c:pt>
                <c:pt idx="3">
                  <c:v>302112.40315384616</c:v>
                </c:pt>
                <c:pt idx="4">
                  <c:v>585943.17666666664</c:v>
                </c:pt>
              </c:numCache>
            </c:numRef>
          </c:val>
        </c:ser>
        <c:ser>
          <c:idx val="0"/>
          <c:order val="2"/>
          <c:tx>
            <c:strRef>
              <c:f>Graphs!$I$118</c:f>
              <c:strCache>
                <c:ptCount val="1"/>
                <c:pt idx="0">
                  <c:v>Fully Hosted Cloud  </c:v>
                </c:pt>
              </c:strCache>
            </c:strRef>
          </c:tx>
          <c:spPr>
            <a:solidFill>
              <a:schemeClr val="accent4"/>
            </a:solidFill>
          </c:spPr>
          <c:invertIfNegative val="0"/>
          <c:cat>
            <c:strRef>
              <c:f>Graphs!$A$119:$A$123</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Graphs!$I$303:$I$307</c:f>
              <c:numCache>
                <c:formatCode>"$"#,##0.00</c:formatCode>
                <c:ptCount val="5"/>
                <c:pt idx="0">
                  <c:v>153540</c:v>
                </c:pt>
                <c:pt idx="1">
                  <c:v>292920</c:v>
                </c:pt>
                <c:pt idx="2">
                  <c:v>585900</c:v>
                </c:pt>
                <c:pt idx="3">
                  <c:v>301320</c:v>
                </c:pt>
                <c:pt idx="4">
                  <c:v>604980</c:v>
                </c:pt>
              </c:numCache>
            </c:numRef>
          </c:val>
        </c:ser>
        <c:dLbls>
          <c:showLegendKey val="0"/>
          <c:showVal val="0"/>
          <c:showCatName val="0"/>
          <c:showSerName val="0"/>
          <c:showPercent val="0"/>
          <c:showBubbleSize val="0"/>
        </c:dLbls>
        <c:gapWidth val="75"/>
        <c:shape val="box"/>
        <c:axId val="94927360"/>
        <c:axId val="47555136"/>
        <c:axId val="0"/>
      </c:bar3DChart>
      <c:catAx>
        <c:axId val="94927360"/>
        <c:scaling>
          <c:orientation val="minMax"/>
        </c:scaling>
        <c:delete val="0"/>
        <c:axPos val="b"/>
        <c:numFmt formatCode="General" sourceLinked="0"/>
        <c:majorTickMark val="none"/>
        <c:minorTickMark val="none"/>
        <c:tickLblPos val="nextTo"/>
        <c:crossAx val="47555136"/>
        <c:crosses val="autoZero"/>
        <c:auto val="1"/>
        <c:lblAlgn val="ctr"/>
        <c:lblOffset val="100"/>
        <c:noMultiLvlLbl val="0"/>
      </c:catAx>
      <c:valAx>
        <c:axId val="47555136"/>
        <c:scaling>
          <c:orientation val="minMax"/>
        </c:scaling>
        <c:delete val="0"/>
        <c:axPos val="l"/>
        <c:majorGridlines/>
        <c:numFmt formatCode="&quot;$&quot;#,##0.00" sourceLinked="1"/>
        <c:majorTickMark val="none"/>
        <c:minorTickMark val="none"/>
        <c:tickLblPos val="nextTo"/>
        <c:spPr>
          <a:ln w="9525">
            <a:noFill/>
          </a:ln>
        </c:spPr>
        <c:crossAx val="9492736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Medium Farm w/ High Availability</a:t>
            </a:r>
            <a:r>
              <a:rPr lang="en-US" baseline="0"/>
              <a:t> (2 WFE, 2 App/Index, 2 SQL)</a:t>
            </a:r>
            <a:endParaRPr lang="en-US"/>
          </a:p>
        </c:rich>
      </c:tx>
      <c:layout/>
      <c:overlay val="0"/>
    </c:title>
    <c:autoTitleDeleted val="0"/>
    <c:plotArea>
      <c:layout/>
      <c:lineChart>
        <c:grouping val="standard"/>
        <c:varyColors val="0"/>
        <c:ser>
          <c:idx val="0"/>
          <c:order val="0"/>
          <c:tx>
            <c:v>Low Estimates</c:v>
          </c:tx>
          <c:marker>
            <c:symbol val="none"/>
          </c:marker>
          <c:cat>
            <c:strRef>
              <c:f>'Professional Service Estimates'!$G$54:$G$65</c:f>
              <c:strCache>
                <c:ptCount val="12"/>
                <c:pt idx="0">
                  <c:v>Firm A</c:v>
                </c:pt>
                <c:pt idx="1">
                  <c:v>Firm B</c:v>
                </c:pt>
                <c:pt idx="2">
                  <c:v>Firm C</c:v>
                </c:pt>
                <c:pt idx="3">
                  <c:v>Firm D</c:v>
                </c:pt>
                <c:pt idx="4">
                  <c:v>Firm E</c:v>
                </c:pt>
                <c:pt idx="5">
                  <c:v>Firm F</c:v>
                </c:pt>
                <c:pt idx="6">
                  <c:v>Firm G</c:v>
                </c:pt>
                <c:pt idx="7">
                  <c:v>Firm H</c:v>
                </c:pt>
                <c:pt idx="8">
                  <c:v>Firm I</c:v>
                </c:pt>
                <c:pt idx="9">
                  <c:v>Firm J</c:v>
                </c:pt>
                <c:pt idx="10">
                  <c:v>Firm K</c:v>
                </c:pt>
                <c:pt idx="11">
                  <c:v>Firm M</c:v>
                </c:pt>
              </c:strCache>
            </c:strRef>
          </c:cat>
          <c:val>
            <c:numRef>
              <c:f>'Professional Service Estimates'!$E$89:$E$100</c:f>
              <c:numCache>
                <c:formatCode>"$"#,##0.00</c:formatCode>
                <c:ptCount val="12"/>
                <c:pt idx="0">
                  <c:v>4200</c:v>
                </c:pt>
                <c:pt idx="1">
                  <c:v>4080</c:v>
                </c:pt>
                <c:pt idx="2">
                  <c:v>9000</c:v>
                </c:pt>
                <c:pt idx="3">
                  <c:v>11220</c:v>
                </c:pt>
                <c:pt idx="4">
                  <c:v>8400</c:v>
                </c:pt>
                <c:pt idx="5">
                  <c:v>5600</c:v>
                </c:pt>
                <c:pt idx="6">
                  <c:v>6000</c:v>
                </c:pt>
                <c:pt idx="7">
                  <c:v>5400</c:v>
                </c:pt>
                <c:pt idx="8">
                  <c:v>13200</c:v>
                </c:pt>
                <c:pt idx="9">
                  <c:v>6660</c:v>
                </c:pt>
                <c:pt idx="10">
                  <c:v>4800</c:v>
                </c:pt>
                <c:pt idx="11">
                  <c:v>6400</c:v>
                </c:pt>
              </c:numCache>
            </c:numRef>
          </c:val>
          <c:smooth val="0"/>
        </c:ser>
        <c:ser>
          <c:idx val="1"/>
          <c:order val="1"/>
          <c:tx>
            <c:v>High Estimates</c:v>
          </c:tx>
          <c:marker>
            <c:symbol val="none"/>
          </c:marker>
          <c:cat>
            <c:strRef>
              <c:f>'Professional Service Estimates'!$G$54:$G$65</c:f>
              <c:strCache>
                <c:ptCount val="12"/>
                <c:pt idx="0">
                  <c:v>Firm A</c:v>
                </c:pt>
                <c:pt idx="1">
                  <c:v>Firm B</c:v>
                </c:pt>
                <c:pt idx="2">
                  <c:v>Firm C</c:v>
                </c:pt>
                <c:pt idx="3">
                  <c:v>Firm D</c:v>
                </c:pt>
                <c:pt idx="4">
                  <c:v>Firm E</c:v>
                </c:pt>
                <c:pt idx="5">
                  <c:v>Firm F</c:v>
                </c:pt>
                <c:pt idx="6">
                  <c:v>Firm G</c:v>
                </c:pt>
                <c:pt idx="7">
                  <c:v>Firm H</c:v>
                </c:pt>
                <c:pt idx="8">
                  <c:v>Firm I</c:v>
                </c:pt>
                <c:pt idx="9">
                  <c:v>Firm J</c:v>
                </c:pt>
                <c:pt idx="10">
                  <c:v>Firm K</c:v>
                </c:pt>
                <c:pt idx="11">
                  <c:v>Firm M</c:v>
                </c:pt>
              </c:strCache>
            </c:strRef>
          </c:cat>
          <c:val>
            <c:numRef>
              <c:f>'Professional Service Estimates'!$F$89:$F$100</c:f>
              <c:numCache>
                <c:formatCode>"$"#,##0.00</c:formatCode>
                <c:ptCount val="12"/>
                <c:pt idx="0">
                  <c:v>9000</c:v>
                </c:pt>
                <c:pt idx="1">
                  <c:v>4920</c:v>
                </c:pt>
                <c:pt idx="2">
                  <c:v>12000</c:v>
                </c:pt>
                <c:pt idx="3">
                  <c:v>15840</c:v>
                </c:pt>
                <c:pt idx="4">
                  <c:v>9600</c:v>
                </c:pt>
                <c:pt idx="5">
                  <c:v>8400</c:v>
                </c:pt>
                <c:pt idx="6">
                  <c:v>9000</c:v>
                </c:pt>
                <c:pt idx="7">
                  <c:v>8100</c:v>
                </c:pt>
                <c:pt idx="8">
                  <c:v>13200</c:v>
                </c:pt>
                <c:pt idx="9">
                  <c:v>12580</c:v>
                </c:pt>
                <c:pt idx="10">
                  <c:v>6000</c:v>
                </c:pt>
                <c:pt idx="11">
                  <c:v>9600</c:v>
                </c:pt>
              </c:numCache>
            </c:numRef>
          </c:val>
          <c:smooth val="0"/>
        </c:ser>
        <c:dLbls>
          <c:showLegendKey val="0"/>
          <c:showVal val="0"/>
          <c:showCatName val="0"/>
          <c:showSerName val="0"/>
          <c:showPercent val="0"/>
          <c:showBubbleSize val="0"/>
        </c:dLbls>
        <c:marker val="1"/>
        <c:smooth val="0"/>
        <c:axId val="73357824"/>
        <c:axId val="140174464"/>
      </c:lineChart>
      <c:catAx>
        <c:axId val="73357824"/>
        <c:scaling>
          <c:orientation val="minMax"/>
        </c:scaling>
        <c:delete val="0"/>
        <c:axPos val="b"/>
        <c:numFmt formatCode="General" sourceLinked="0"/>
        <c:majorTickMark val="none"/>
        <c:minorTickMark val="none"/>
        <c:tickLblPos val="nextTo"/>
        <c:crossAx val="140174464"/>
        <c:crosses val="autoZero"/>
        <c:auto val="1"/>
        <c:lblAlgn val="ctr"/>
        <c:lblOffset val="100"/>
        <c:noMultiLvlLbl val="0"/>
      </c:catAx>
      <c:valAx>
        <c:axId val="140174464"/>
        <c:scaling>
          <c:orientation val="minMax"/>
        </c:scaling>
        <c:delete val="0"/>
        <c:axPos val="l"/>
        <c:majorGridlines/>
        <c:title>
          <c:tx>
            <c:rich>
              <a:bodyPr/>
              <a:lstStyle/>
              <a:p>
                <a:pPr>
                  <a:defRPr/>
                </a:pPr>
                <a:r>
                  <a:rPr lang="en-US"/>
                  <a:t>Professional Services</a:t>
                </a:r>
              </a:p>
            </c:rich>
          </c:tx>
          <c:layout/>
          <c:overlay val="0"/>
        </c:title>
        <c:numFmt formatCode="&quot;$&quot;#,##0.00" sourceLinked="1"/>
        <c:majorTickMark val="none"/>
        <c:minorTickMark val="none"/>
        <c:tickLblPos val="nextTo"/>
        <c:crossAx val="733578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Year 2 Low User Count</a:t>
            </a:r>
            <a:br>
              <a:rPr lang="en-US"/>
            </a:br>
            <a:r>
              <a:rPr lang="en-US" sz="1800" b="1" i="0" u="none" strike="noStrike" baseline="0">
                <a:effectLst/>
              </a:rPr>
              <a:t>(Enterprise Licensing w/ SA)</a:t>
            </a:r>
            <a:endParaRPr lang="en-US"/>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2"/>
          <c:order val="0"/>
          <c:tx>
            <c:strRef>
              <c:f>Graphs!$C$126</c:f>
              <c:strCache>
                <c:ptCount val="1"/>
                <c:pt idx="0">
                  <c:v>Office 365 (SP Online Plan 2)</c:v>
                </c:pt>
              </c:strCache>
            </c:strRef>
          </c:tx>
          <c:spPr>
            <a:solidFill>
              <a:schemeClr val="accent2"/>
            </a:solidFill>
          </c:spPr>
          <c:invertIfNegative val="0"/>
          <c:cat>
            <c:strRef>
              <c:f>Graphs!$A$127:$A$131</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Graphs!$C$311:$C$315</c:f>
              <c:numCache>
                <c:formatCode>"$"#,##0.00</c:formatCode>
                <c:ptCount val="5"/>
                <c:pt idx="0">
                  <c:v>4800</c:v>
                </c:pt>
                <c:pt idx="1">
                  <c:v>4800</c:v>
                </c:pt>
                <c:pt idx="2">
                  <c:v>9600</c:v>
                </c:pt>
                <c:pt idx="3">
                  <c:v>4800</c:v>
                </c:pt>
                <c:pt idx="4">
                  <c:v>9600</c:v>
                </c:pt>
              </c:numCache>
            </c:numRef>
          </c:val>
        </c:ser>
        <c:ser>
          <c:idx val="3"/>
          <c:order val="1"/>
          <c:tx>
            <c:strRef>
              <c:f>Graphs!$D$126</c:f>
              <c:strCache>
                <c:ptCount val="1"/>
                <c:pt idx="0">
                  <c:v>On Premises</c:v>
                </c:pt>
              </c:strCache>
            </c:strRef>
          </c:tx>
          <c:spPr>
            <a:solidFill>
              <a:schemeClr val="accent3"/>
            </a:solidFill>
          </c:spPr>
          <c:invertIfNegative val="0"/>
          <c:cat>
            <c:strRef>
              <c:f>Graphs!$A$127:$A$131</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Graphs!$D$311:$D$315</c:f>
              <c:numCache>
                <c:formatCode>"$"#,##0.00</c:formatCode>
                <c:ptCount val="5"/>
                <c:pt idx="0">
                  <c:v>17390.604000000003</c:v>
                </c:pt>
                <c:pt idx="1">
                  <c:v>26085.905999999999</c:v>
                </c:pt>
                <c:pt idx="2">
                  <c:v>34781.208000000006</c:v>
                </c:pt>
                <c:pt idx="3">
                  <c:v>30433.557000000001</c:v>
                </c:pt>
                <c:pt idx="4">
                  <c:v>43476.51</c:v>
                </c:pt>
              </c:numCache>
            </c:numRef>
          </c:val>
        </c:ser>
        <c:ser>
          <c:idx val="0"/>
          <c:order val="2"/>
          <c:tx>
            <c:strRef>
              <c:f>Graphs!$E$126</c:f>
              <c:strCache>
                <c:ptCount val="1"/>
                <c:pt idx="0">
                  <c:v>Fully Hosted Cloud</c:v>
                </c:pt>
              </c:strCache>
            </c:strRef>
          </c:tx>
          <c:spPr>
            <a:solidFill>
              <a:schemeClr val="accent4"/>
            </a:solidFill>
          </c:spPr>
          <c:invertIfNegative val="0"/>
          <c:cat>
            <c:strRef>
              <c:f>Graphs!$A$127:$A$131</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Graphs!$E$311:$E$315</c:f>
              <c:numCache>
                <c:formatCode>"$"#,##0.00</c:formatCode>
                <c:ptCount val="5"/>
                <c:pt idx="0">
                  <c:v>20040</c:v>
                </c:pt>
                <c:pt idx="1">
                  <c:v>25920</c:v>
                </c:pt>
                <c:pt idx="2">
                  <c:v>51900</c:v>
                </c:pt>
                <c:pt idx="3">
                  <c:v>34320</c:v>
                </c:pt>
                <c:pt idx="4">
                  <c:v>70980</c:v>
                </c:pt>
              </c:numCache>
            </c:numRef>
          </c:val>
        </c:ser>
        <c:dLbls>
          <c:showLegendKey val="0"/>
          <c:showVal val="0"/>
          <c:showCatName val="0"/>
          <c:showSerName val="0"/>
          <c:showPercent val="0"/>
          <c:showBubbleSize val="0"/>
        </c:dLbls>
        <c:gapWidth val="75"/>
        <c:shape val="box"/>
        <c:axId val="94927872"/>
        <c:axId val="47557440"/>
        <c:axId val="0"/>
      </c:bar3DChart>
      <c:catAx>
        <c:axId val="94927872"/>
        <c:scaling>
          <c:orientation val="minMax"/>
        </c:scaling>
        <c:delete val="0"/>
        <c:axPos val="b"/>
        <c:numFmt formatCode="General" sourceLinked="0"/>
        <c:majorTickMark val="none"/>
        <c:minorTickMark val="none"/>
        <c:tickLblPos val="nextTo"/>
        <c:crossAx val="47557440"/>
        <c:crosses val="autoZero"/>
        <c:auto val="1"/>
        <c:lblAlgn val="ctr"/>
        <c:lblOffset val="100"/>
        <c:noMultiLvlLbl val="0"/>
      </c:catAx>
      <c:valAx>
        <c:axId val="47557440"/>
        <c:scaling>
          <c:orientation val="minMax"/>
        </c:scaling>
        <c:delete val="0"/>
        <c:axPos val="l"/>
        <c:majorGridlines/>
        <c:numFmt formatCode="&quot;$&quot;#,##0.00" sourceLinked="1"/>
        <c:majorTickMark val="none"/>
        <c:minorTickMark val="none"/>
        <c:tickLblPos val="nextTo"/>
        <c:spPr>
          <a:ln w="9525">
            <a:noFill/>
          </a:ln>
        </c:spPr>
        <c:crossAx val="9492787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Year 2 High User Count</a:t>
            </a:r>
            <a:br>
              <a:rPr lang="en-US"/>
            </a:br>
            <a:r>
              <a:rPr lang="en-US" sz="1800" b="1" i="0" u="none" strike="noStrike" baseline="0">
                <a:effectLst/>
              </a:rPr>
              <a:t>(Enterprise Licensing w/ SA)</a:t>
            </a:r>
            <a:endParaRPr lang="en-US"/>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2"/>
          <c:order val="0"/>
          <c:tx>
            <c:strRef>
              <c:f>Graphs!$G$126</c:f>
              <c:strCache>
                <c:ptCount val="1"/>
                <c:pt idx="0">
                  <c:v>Office 365 (SP Online Plan 2) </c:v>
                </c:pt>
              </c:strCache>
            </c:strRef>
          </c:tx>
          <c:spPr>
            <a:solidFill>
              <a:schemeClr val="accent2"/>
            </a:solidFill>
          </c:spPr>
          <c:invertIfNegative val="0"/>
          <c:cat>
            <c:strRef>
              <c:f>Graphs!$A$127:$A$131</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Graphs!$G$311:$G$315</c:f>
              <c:numCache>
                <c:formatCode>"$"#,##0.00</c:formatCode>
                <c:ptCount val="5"/>
                <c:pt idx="0">
                  <c:v>48000</c:v>
                </c:pt>
                <c:pt idx="1">
                  <c:v>96000</c:v>
                </c:pt>
                <c:pt idx="2">
                  <c:v>192000</c:v>
                </c:pt>
                <c:pt idx="3">
                  <c:v>96000</c:v>
                </c:pt>
                <c:pt idx="4">
                  <c:v>192000</c:v>
                </c:pt>
              </c:numCache>
            </c:numRef>
          </c:val>
        </c:ser>
        <c:ser>
          <c:idx val="3"/>
          <c:order val="1"/>
          <c:tx>
            <c:strRef>
              <c:f>Graphs!$H$126</c:f>
              <c:strCache>
                <c:ptCount val="1"/>
                <c:pt idx="0">
                  <c:v>On Premises </c:v>
                </c:pt>
              </c:strCache>
            </c:strRef>
          </c:tx>
          <c:spPr>
            <a:solidFill>
              <a:schemeClr val="accent3"/>
            </a:solidFill>
          </c:spPr>
          <c:invertIfNegative val="0"/>
          <c:cat>
            <c:strRef>
              <c:f>Graphs!$A$127:$A$131</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Graphs!$H$311:$H$315</c:f>
              <c:numCache>
                <c:formatCode>"$"#,##0.00</c:formatCode>
                <c:ptCount val="5"/>
                <c:pt idx="0">
                  <c:v>17390.604000000003</c:v>
                </c:pt>
                <c:pt idx="1">
                  <c:v>26085.905999999999</c:v>
                </c:pt>
                <c:pt idx="2">
                  <c:v>34781.208000000006</c:v>
                </c:pt>
                <c:pt idx="3">
                  <c:v>30433.557000000001</c:v>
                </c:pt>
                <c:pt idx="4">
                  <c:v>43476.51</c:v>
                </c:pt>
              </c:numCache>
            </c:numRef>
          </c:val>
        </c:ser>
        <c:ser>
          <c:idx val="0"/>
          <c:order val="2"/>
          <c:tx>
            <c:strRef>
              <c:f>Graphs!$I$126</c:f>
              <c:strCache>
                <c:ptCount val="1"/>
                <c:pt idx="0">
                  <c:v>Fully Hosted Cloud   </c:v>
                </c:pt>
              </c:strCache>
            </c:strRef>
          </c:tx>
          <c:spPr>
            <a:solidFill>
              <a:schemeClr val="accent4"/>
            </a:solidFill>
          </c:spPr>
          <c:invertIfNegative val="0"/>
          <c:cat>
            <c:strRef>
              <c:f>Graphs!$A$127:$A$131</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Graphs!$I$311:$I$315</c:f>
              <c:numCache>
                <c:formatCode>"$"#,##0.00</c:formatCode>
                <c:ptCount val="5"/>
                <c:pt idx="0">
                  <c:v>20040</c:v>
                </c:pt>
                <c:pt idx="1">
                  <c:v>25920</c:v>
                </c:pt>
                <c:pt idx="2">
                  <c:v>51900</c:v>
                </c:pt>
                <c:pt idx="3">
                  <c:v>34320</c:v>
                </c:pt>
                <c:pt idx="4">
                  <c:v>70980</c:v>
                </c:pt>
              </c:numCache>
            </c:numRef>
          </c:val>
        </c:ser>
        <c:dLbls>
          <c:showLegendKey val="0"/>
          <c:showVal val="0"/>
          <c:showCatName val="0"/>
          <c:showSerName val="0"/>
          <c:showPercent val="0"/>
          <c:showBubbleSize val="0"/>
        </c:dLbls>
        <c:gapWidth val="75"/>
        <c:shape val="box"/>
        <c:axId val="94928384"/>
        <c:axId val="47559744"/>
        <c:axId val="0"/>
      </c:bar3DChart>
      <c:catAx>
        <c:axId val="94928384"/>
        <c:scaling>
          <c:orientation val="minMax"/>
        </c:scaling>
        <c:delete val="0"/>
        <c:axPos val="b"/>
        <c:numFmt formatCode="General" sourceLinked="0"/>
        <c:majorTickMark val="none"/>
        <c:minorTickMark val="none"/>
        <c:tickLblPos val="nextTo"/>
        <c:crossAx val="47559744"/>
        <c:crosses val="autoZero"/>
        <c:auto val="1"/>
        <c:lblAlgn val="ctr"/>
        <c:lblOffset val="100"/>
        <c:noMultiLvlLbl val="0"/>
      </c:catAx>
      <c:valAx>
        <c:axId val="47559744"/>
        <c:scaling>
          <c:orientation val="minMax"/>
        </c:scaling>
        <c:delete val="0"/>
        <c:axPos val="l"/>
        <c:majorGridlines/>
        <c:numFmt formatCode="&quot;$&quot;#,##0.00" sourceLinked="1"/>
        <c:majorTickMark val="none"/>
        <c:minorTickMark val="none"/>
        <c:tickLblPos val="nextTo"/>
        <c:spPr>
          <a:ln w="9525">
            <a:noFill/>
          </a:ln>
        </c:spPr>
        <c:crossAx val="9492838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Costs: Year 1 to 3 Low User Count</a:t>
            </a:r>
            <a:br>
              <a:rPr lang="en-US"/>
            </a:br>
            <a:r>
              <a:rPr lang="en-US" sz="1800" b="1" i="0" u="none" strike="noStrike" baseline="0">
                <a:effectLst/>
              </a:rPr>
              <a:t>(Enterprise Licensing w/ SA)</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strRef>
              <c:f>Graphs!$C$110</c:f>
              <c:strCache>
                <c:ptCount val="1"/>
                <c:pt idx="0">
                  <c:v>Office 365 (SP Online Plan 2)</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Graphs!$M$303:$M$307</c:f>
              <c:numCache>
                <c:formatCode>"$"#,##0.00</c:formatCode>
                <c:ptCount val="5"/>
                <c:pt idx="0">
                  <c:v>14400</c:v>
                </c:pt>
                <c:pt idx="1">
                  <c:v>14400</c:v>
                </c:pt>
                <c:pt idx="2">
                  <c:v>28800</c:v>
                </c:pt>
                <c:pt idx="3">
                  <c:v>14400</c:v>
                </c:pt>
                <c:pt idx="4">
                  <c:v>28800</c:v>
                </c:pt>
              </c:numCache>
            </c:numRef>
          </c:val>
        </c:ser>
        <c:ser>
          <c:idx val="2"/>
          <c:order val="1"/>
          <c:tx>
            <c:strRef>
              <c:f>Graphs!$D$110</c:f>
              <c:strCache>
                <c:ptCount val="1"/>
                <c:pt idx="0">
                  <c:v>On Premises</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Graphs!$N$303:$N$307</c:f>
              <c:numCache>
                <c:formatCode>"$"#,##0.00</c:formatCode>
                <c:ptCount val="5"/>
                <c:pt idx="0">
                  <c:v>68391.619692307693</c:v>
                </c:pt>
                <c:pt idx="1">
                  <c:v>95504.256461538462</c:v>
                </c:pt>
                <c:pt idx="2">
                  <c:v>137856.5406666667</c:v>
                </c:pt>
                <c:pt idx="3">
                  <c:v>109329.51715384616</c:v>
                </c:pt>
                <c:pt idx="4">
                  <c:v>165596.19666666666</c:v>
                </c:pt>
              </c:numCache>
            </c:numRef>
          </c:val>
        </c:ser>
        <c:ser>
          <c:idx val="3"/>
          <c:order val="2"/>
          <c:tx>
            <c:strRef>
              <c:f>Graphs!$E$110</c:f>
              <c:strCache>
                <c:ptCount val="1"/>
                <c:pt idx="0">
                  <c:v>Fully Hosted Cloud</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Graphs!$O$303:$O$307</c:f>
              <c:numCache>
                <c:formatCode>"$"#,##0.00</c:formatCode>
                <c:ptCount val="5"/>
                <c:pt idx="0">
                  <c:v>73470</c:v>
                </c:pt>
                <c:pt idx="1">
                  <c:v>91110</c:v>
                </c:pt>
                <c:pt idx="2">
                  <c:v>182400</c:v>
                </c:pt>
                <c:pt idx="3">
                  <c:v>116310</c:v>
                </c:pt>
                <c:pt idx="4">
                  <c:v>239640</c:v>
                </c:pt>
              </c:numCache>
            </c:numRef>
          </c:val>
        </c:ser>
        <c:dLbls>
          <c:showLegendKey val="0"/>
          <c:showVal val="0"/>
          <c:showCatName val="0"/>
          <c:showSerName val="0"/>
          <c:showPercent val="0"/>
          <c:showBubbleSize val="0"/>
        </c:dLbls>
        <c:gapWidth val="75"/>
        <c:shape val="box"/>
        <c:axId val="95916032"/>
        <c:axId val="47562048"/>
        <c:axId val="0"/>
      </c:bar3DChart>
      <c:catAx>
        <c:axId val="95916032"/>
        <c:scaling>
          <c:orientation val="minMax"/>
        </c:scaling>
        <c:delete val="0"/>
        <c:axPos val="b"/>
        <c:numFmt formatCode="General" sourceLinked="0"/>
        <c:majorTickMark val="none"/>
        <c:minorTickMark val="none"/>
        <c:tickLblPos val="nextTo"/>
        <c:crossAx val="47562048"/>
        <c:crosses val="autoZero"/>
        <c:auto val="1"/>
        <c:lblAlgn val="ctr"/>
        <c:lblOffset val="100"/>
        <c:noMultiLvlLbl val="0"/>
      </c:catAx>
      <c:valAx>
        <c:axId val="47562048"/>
        <c:scaling>
          <c:orientation val="minMax"/>
        </c:scaling>
        <c:delete val="0"/>
        <c:axPos val="l"/>
        <c:majorGridlines/>
        <c:numFmt formatCode="&quot;$&quot;#,##0.00" sourceLinked="1"/>
        <c:majorTickMark val="none"/>
        <c:minorTickMark val="none"/>
        <c:tickLblPos val="nextTo"/>
        <c:spPr>
          <a:ln w="9525">
            <a:noFill/>
          </a:ln>
        </c:spPr>
        <c:crossAx val="9591603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Costs</a:t>
            </a:r>
            <a:r>
              <a:rPr lang="en-US" baseline="0"/>
              <a:t>: </a:t>
            </a:r>
            <a:r>
              <a:rPr lang="en-US"/>
              <a:t>Year 1</a:t>
            </a:r>
            <a:r>
              <a:rPr lang="en-US" baseline="0"/>
              <a:t> to 3 High User Count</a:t>
            </a:r>
            <a:br>
              <a:rPr lang="en-US" baseline="0"/>
            </a:br>
            <a:r>
              <a:rPr lang="en-US" sz="1800" b="1" i="0" u="none" strike="noStrike" baseline="0">
                <a:effectLst/>
              </a:rPr>
              <a:t>(Enterprise Licensing w/ SA)</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strRef>
              <c:f>Graphs!$C$110</c:f>
              <c:strCache>
                <c:ptCount val="1"/>
                <c:pt idx="0">
                  <c:v>Office 365 (SP Online Plan 2)</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Graphs!$Q$303:$Q$307</c:f>
              <c:numCache>
                <c:formatCode>"$"#,##0.00</c:formatCode>
                <c:ptCount val="5"/>
                <c:pt idx="0">
                  <c:v>144000</c:v>
                </c:pt>
                <c:pt idx="1">
                  <c:v>288000</c:v>
                </c:pt>
                <c:pt idx="2">
                  <c:v>576000</c:v>
                </c:pt>
                <c:pt idx="3">
                  <c:v>288000</c:v>
                </c:pt>
                <c:pt idx="4">
                  <c:v>576000</c:v>
                </c:pt>
              </c:numCache>
            </c:numRef>
          </c:val>
        </c:ser>
        <c:ser>
          <c:idx val="2"/>
          <c:order val="1"/>
          <c:tx>
            <c:strRef>
              <c:f>Graphs!$D$110</c:f>
              <c:strCache>
                <c:ptCount val="1"/>
                <c:pt idx="0">
                  <c:v>On Premises</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Graphs!$R$303:$R$307</c:f>
              <c:numCache>
                <c:formatCode>"$"#,##0.00</c:formatCode>
                <c:ptCount val="5"/>
                <c:pt idx="0">
                  <c:v>188541.61969230769</c:v>
                </c:pt>
                <c:pt idx="1">
                  <c:v>349154.25646153843</c:v>
                </c:pt>
                <c:pt idx="2">
                  <c:v>645156.54066666658</c:v>
                </c:pt>
                <c:pt idx="3">
                  <c:v>362979.51715384616</c:v>
                </c:pt>
                <c:pt idx="4">
                  <c:v>672896.19666666666</c:v>
                </c:pt>
              </c:numCache>
            </c:numRef>
          </c:val>
        </c:ser>
        <c:ser>
          <c:idx val="3"/>
          <c:order val="2"/>
          <c:tx>
            <c:strRef>
              <c:f>Graphs!$E$110</c:f>
              <c:strCache>
                <c:ptCount val="1"/>
                <c:pt idx="0">
                  <c:v>Fully Hosted Cloud</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Graphs!$S$303:$S$307</c:f>
              <c:numCache>
                <c:formatCode>"$"#,##0.00</c:formatCode>
                <c:ptCount val="5"/>
                <c:pt idx="0">
                  <c:v>193620</c:v>
                </c:pt>
                <c:pt idx="1">
                  <c:v>344760</c:v>
                </c:pt>
                <c:pt idx="2">
                  <c:v>689700</c:v>
                </c:pt>
                <c:pt idx="3">
                  <c:v>369960</c:v>
                </c:pt>
                <c:pt idx="4">
                  <c:v>746940</c:v>
                </c:pt>
              </c:numCache>
            </c:numRef>
          </c:val>
        </c:ser>
        <c:dLbls>
          <c:showLegendKey val="0"/>
          <c:showVal val="0"/>
          <c:showCatName val="0"/>
          <c:showSerName val="0"/>
          <c:showPercent val="0"/>
          <c:showBubbleSize val="0"/>
        </c:dLbls>
        <c:gapWidth val="75"/>
        <c:shape val="box"/>
        <c:axId val="95916544"/>
        <c:axId val="48727744"/>
        <c:axId val="0"/>
      </c:bar3DChart>
      <c:catAx>
        <c:axId val="95916544"/>
        <c:scaling>
          <c:orientation val="minMax"/>
        </c:scaling>
        <c:delete val="0"/>
        <c:axPos val="b"/>
        <c:numFmt formatCode="General" sourceLinked="0"/>
        <c:majorTickMark val="none"/>
        <c:minorTickMark val="none"/>
        <c:tickLblPos val="nextTo"/>
        <c:crossAx val="48727744"/>
        <c:crosses val="autoZero"/>
        <c:auto val="1"/>
        <c:lblAlgn val="ctr"/>
        <c:lblOffset val="100"/>
        <c:noMultiLvlLbl val="0"/>
      </c:catAx>
      <c:valAx>
        <c:axId val="48727744"/>
        <c:scaling>
          <c:orientation val="minMax"/>
        </c:scaling>
        <c:delete val="0"/>
        <c:axPos val="l"/>
        <c:majorGridlines/>
        <c:numFmt formatCode="&quot;$&quot;#,##0.00" sourceLinked="1"/>
        <c:majorTickMark val="none"/>
        <c:minorTickMark val="none"/>
        <c:tickLblPos val="nextTo"/>
        <c:crossAx val="9591654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Costs: Year 1 to 5 Low User Count</a:t>
            </a:r>
            <a:br>
              <a:rPr lang="en-US"/>
            </a:br>
            <a:r>
              <a:rPr lang="en-US" sz="1800" b="1" i="0" u="none" strike="noStrike" baseline="0">
                <a:effectLst/>
              </a:rPr>
              <a:t>(Enterprise Licensing w/ SA)</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strRef>
              <c:f>Graphs!$C$110</c:f>
              <c:strCache>
                <c:ptCount val="1"/>
                <c:pt idx="0">
                  <c:v>Office 365 (SP Online Plan 2)</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Graphs!$M$311:$M$315</c:f>
              <c:numCache>
                <c:formatCode>"$"#,##0.00</c:formatCode>
                <c:ptCount val="5"/>
                <c:pt idx="0">
                  <c:v>24000</c:v>
                </c:pt>
                <c:pt idx="1">
                  <c:v>24000</c:v>
                </c:pt>
                <c:pt idx="2">
                  <c:v>48000</c:v>
                </c:pt>
                <c:pt idx="3">
                  <c:v>24000</c:v>
                </c:pt>
                <c:pt idx="4">
                  <c:v>48000</c:v>
                </c:pt>
              </c:numCache>
            </c:numRef>
          </c:val>
        </c:ser>
        <c:ser>
          <c:idx val="2"/>
          <c:order val="1"/>
          <c:tx>
            <c:strRef>
              <c:f>Graphs!$D$110</c:f>
              <c:strCache>
                <c:ptCount val="1"/>
                <c:pt idx="0">
                  <c:v>On Premises</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Graphs!$N$311:$N$315</c:f>
              <c:numCache>
                <c:formatCode>"$"#,##0.00</c:formatCode>
                <c:ptCount val="5"/>
                <c:pt idx="0">
                  <c:v>103172.82769230771</c:v>
                </c:pt>
                <c:pt idx="1">
                  <c:v>147676.06846153847</c:v>
                </c:pt>
                <c:pt idx="2">
                  <c:v>207418.95666666669</c:v>
                </c:pt>
                <c:pt idx="3">
                  <c:v>170196.63115384616</c:v>
                </c:pt>
                <c:pt idx="4">
                  <c:v>252549.21666666667</c:v>
                </c:pt>
              </c:numCache>
            </c:numRef>
          </c:val>
        </c:ser>
        <c:ser>
          <c:idx val="3"/>
          <c:order val="2"/>
          <c:tx>
            <c:strRef>
              <c:f>Graphs!$E$110</c:f>
              <c:strCache>
                <c:ptCount val="1"/>
                <c:pt idx="0">
                  <c:v>Fully Hosted Cloud</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Graphs!$O$311:$O$315</c:f>
              <c:numCache>
                <c:formatCode>"$"#,##0.00</c:formatCode>
                <c:ptCount val="5"/>
                <c:pt idx="0">
                  <c:v>113550</c:v>
                </c:pt>
                <c:pt idx="1">
                  <c:v>142950</c:v>
                </c:pt>
                <c:pt idx="2">
                  <c:v>286200</c:v>
                </c:pt>
                <c:pt idx="3">
                  <c:v>184950</c:v>
                </c:pt>
                <c:pt idx="4">
                  <c:v>381600</c:v>
                </c:pt>
              </c:numCache>
            </c:numRef>
          </c:val>
        </c:ser>
        <c:dLbls>
          <c:showLegendKey val="0"/>
          <c:showVal val="0"/>
          <c:showCatName val="0"/>
          <c:showSerName val="0"/>
          <c:showPercent val="0"/>
          <c:showBubbleSize val="0"/>
        </c:dLbls>
        <c:gapWidth val="75"/>
        <c:shape val="box"/>
        <c:axId val="95917056"/>
        <c:axId val="48730048"/>
        <c:axId val="0"/>
      </c:bar3DChart>
      <c:catAx>
        <c:axId val="95917056"/>
        <c:scaling>
          <c:orientation val="minMax"/>
        </c:scaling>
        <c:delete val="0"/>
        <c:axPos val="b"/>
        <c:numFmt formatCode="General" sourceLinked="0"/>
        <c:majorTickMark val="none"/>
        <c:minorTickMark val="none"/>
        <c:tickLblPos val="nextTo"/>
        <c:crossAx val="48730048"/>
        <c:crosses val="autoZero"/>
        <c:auto val="1"/>
        <c:lblAlgn val="ctr"/>
        <c:lblOffset val="100"/>
        <c:noMultiLvlLbl val="0"/>
      </c:catAx>
      <c:valAx>
        <c:axId val="48730048"/>
        <c:scaling>
          <c:orientation val="minMax"/>
        </c:scaling>
        <c:delete val="0"/>
        <c:axPos val="l"/>
        <c:majorGridlines/>
        <c:numFmt formatCode="&quot;$&quot;#,##0.00" sourceLinked="1"/>
        <c:majorTickMark val="none"/>
        <c:minorTickMark val="none"/>
        <c:tickLblPos val="nextTo"/>
        <c:spPr>
          <a:ln w="9525">
            <a:noFill/>
          </a:ln>
        </c:spPr>
        <c:crossAx val="9591705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Costs</a:t>
            </a:r>
            <a:r>
              <a:rPr lang="en-US" baseline="0"/>
              <a:t>: </a:t>
            </a:r>
            <a:r>
              <a:rPr lang="en-US"/>
              <a:t>Year 1</a:t>
            </a:r>
            <a:r>
              <a:rPr lang="en-US" baseline="0"/>
              <a:t> to 5 High User Count</a:t>
            </a:r>
            <a:br>
              <a:rPr lang="en-US" baseline="0"/>
            </a:br>
            <a:r>
              <a:rPr lang="en-US" sz="1800" b="1" i="0" u="none" strike="noStrike" baseline="0">
                <a:effectLst/>
              </a:rPr>
              <a:t>(Enterprise Licensing w/ SA)</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strRef>
              <c:f>Graphs!$C$110</c:f>
              <c:strCache>
                <c:ptCount val="1"/>
                <c:pt idx="0">
                  <c:v>Office 365 (SP Online Plan 2)</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Graphs!$Q$311:$Q$315</c:f>
              <c:numCache>
                <c:formatCode>"$"#,##0.00</c:formatCode>
                <c:ptCount val="5"/>
                <c:pt idx="0">
                  <c:v>240000</c:v>
                </c:pt>
                <c:pt idx="1">
                  <c:v>480000</c:v>
                </c:pt>
                <c:pt idx="2">
                  <c:v>960000</c:v>
                </c:pt>
                <c:pt idx="3">
                  <c:v>480000</c:v>
                </c:pt>
                <c:pt idx="4">
                  <c:v>960000</c:v>
                </c:pt>
              </c:numCache>
            </c:numRef>
          </c:val>
        </c:ser>
        <c:ser>
          <c:idx val="2"/>
          <c:order val="1"/>
          <c:tx>
            <c:strRef>
              <c:f>Graphs!$D$110</c:f>
              <c:strCache>
                <c:ptCount val="1"/>
                <c:pt idx="0">
                  <c:v>On Premises</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Graphs!$R$311:$R$315</c:f>
              <c:numCache>
                <c:formatCode>"$"#,##0.00</c:formatCode>
                <c:ptCount val="5"/>
                <c:pt idx="0">
                  <c:v>223322.82769230771</c:v>
                </c:pt>
                <c:pt idx="1">
                  <c:v>401326.06846153847</c:v>
                </c:pt>
                <c:pt idx="2">
                  <c:v>714718.95666666667</c:v>
                </c:pt>
                <c:pt idx="3">
                  <c:v>423846.63115384616</c:v>
                </c:pt>
                <c:pt idx="4">
                  <c:v>759849.21666666667</c:v>
                </c:pt>
              </c:numCache>
            </c:numRef>
          </c:val>
        </c:ser>
        <c:ser>
          <c:idx val="3"/>
          <c:order val="2"/>
          <c:tx>
            <c:strRef>
              <c:f>Graphs!$E$110</c:f>
              <c:strCache>
                <c:ptCount val="1"/>
                <c:pt idx="0">
                  <c:v>Fully Hosted Cloud</c:v>
                </c:pt>
              </c:strCache>
            </c:strRef>
          </c:tx>
          <c:invertIfNegative val="0"/>
          <c:cat>
            <c:strRef>
              <c:f>Graphs!$A$111:$A$115</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Graphs!$S$311:$S$315</c:f>
              <c:numCache>
                <c:formatCode>"$"#,##0.00</c:formatCode>
                <c:ptCount val="5"/>
                <c:pt idx="0">
                  <c:v>233700</c:v>
                </c:pt>
                <c:pt idx="1">
                  <c:v>396600</c:v>
                </c:pt>
                <c:pt idx="2">
                  <c:v>793500</c:v>
                </c:pt>
                <c:pt idx="3">
                  <c:v>438600</c:v>
                </c:pt>
                <c:pt idx="4">
                  <c:v>888900</c:v>
                </c:pt>
              </c:numCache>
            </c:numRef>
          </c:val>
        </c:ser>
        <c:dLbls>
          <c:showLegendKey val="0"/>
          <c:showVal val="0"/>
          <c:showCatName val="0"/>
          <c:showSerName val="0"/>
          <c:showPercent val="0"/>
          <c:showBubbleSize val="0"/>
        </c:dLbls>
        <c:gapWidth val="75"/>
        <c:shape val="box"/>
        <c:axId val="95917568"/>
        <c:axId val="48732352"/>
        <c:axId val="0"/>
      </c:bar3DChart>
      <c:catAx>
        <c:axId val="95917568"/>
        <c:scaling>
          <c:orientation val="minMax"/>
        </c:scaling>
        <c:delete val="0"/>
        <c:axPos val="b"/>
        <c:numFmt formatCode="General" sourceLinked="0"/>
        <c:majorTickMark val="none"/>
        <c:minorTickMark val="none"/>
        <c:tickLblPos val="nextTo"/>
        <c:crossAx val="48732352"/>
        <c:crosses val="autoZero"/>
        <c:auto val="1"/>
        <c:lblAlgn val="ctr"/>
        <c:lblOffset val="100"/>
        <c:noMultiLvlLbl val="0"/>
      </c:catAx>
      <c:valAx>
        <c:axId val="48732352"/>
        <c:scaling>
          <c:orientation val="minMax"/>
        </c:scaling>
        <c:delete val="0"/>
        <c:axPos val="l"/>
        <c:majorGridlines/>
        <c:numFmt formatCode="&quot;$&quot;#,##0.00" sourceLinked="1"/>
        <c:majorTickMark val="none"/>
        <c:minorTickMark val="none"/>
        <c:tickLblPos val="nextTo"/>
        <c:crossAx val="9591756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effectLst/>
              </a:rPr>
              <a:t>Medium</a:t>
            </a:r>
            <a:r>
              <a:rPr lang="en-US" baseline="0">
                <a:effectLst/>
              </a:rPr>
              <a:t> Farm w/ High Availability Low User Count</a:t>
            </a:r>
            <a:br>
              <a:rPr lang="en-US" baseline="0">
                <a:effectLst/>
              </a:rPr>
            </a:br>
            <a:r>
              <a:rPr lang="en-US" baseline="0">
                <a:effectLst/>
              </a:rPr>
              <a:t>(Enterprise Licensing w/ SA)</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strRef>
              <c:f>Graphs!$C$110</c:f>
              <c:strCache>
                <c:ptCount val="1"/>
                <c:pt idx="0">
                  <c:v>Office 365 (SP Online Plan 2)</c:v>
                </c:pt>
              </c:strCache>
            </c:strRef>
          </c:tx>
          <c:invertIfNegative val="0"/>
          <c:cat>
            <c:strRef>
              <c:f>Graphs!$C$386:$C$390</c:f>
              <c:strCache>
                <c:ptCount val="5"/>
                <c:pt idx="0">
                  <c:v>Year 1</c:v>
                </c:pt>
                <c:pt idx="1">
                  <c:v>Year 2</c:v>
                </c:pt>
                <c:pt idx="2">
                  <c:v>Year 3</c:v>
                </c:pt>
                <c:pt idx="3">
                  <c:v>Year 4</c:v>
                </c:pt>
                <c:pt idx="4">
                  <c:v>Year 5</c:v>
                </c:pt>
              </c:strCache>
            </c:strRef>
          </c:cat>
          <c:val>
            <c:numRef>
              <c:f>Graphs!$D$386:$D$390</c:f>
              <c:numCache>
                <c:formatCode>"$"#,##0.00</c:formatCode>
                <c:ptCount val="5"/>
                <c:pt idx="0">
                  <c:v>9600</c:v>
                </c:pt>
                <c:pt idx="1">
                  <c:v>9600</c:v>
                </c:pt>
                <c:pt idx="2">
                  <c:v>9600</c:v>
                </c:pt>
                <c:pt idx="3">
                  <c:v>9600</c:v>
                </c:pt>
                <c:pt idx="4">
                  <c:v>9600</c:v>
                </c:pt>
              </c:numCache>
            </c:numRef>
          </c:val>
        </c:ser>
        <c:ser>
          <c:idx val="2"/>
          <c:order val="1"/>
          <c:tx>
            <c:strRef>
              <c:f>Graphs!$D$110</c:f>
              <c:strCache>
                <c:ptCount val="1"/>
                <c:pt idx="0">
                  <c:v>On Premises</c:v>
                </c:pt>
              </c:strCache>
            </c:strRef>
          </c:tx>
          <c:invertIfNegative val="0"/>
          <c:cat>
            <c:strRef>
              <c:f>Graphs!$C$386:$C$390</c:f>
              <c:strCache>
                <c:ptCount val="5"/>
                <c:pt idx="0">
                  <c:v>Year 1</c:v>
                </c:pt>
                <c:pt idx="1">
                  <c:v>Year 2</c:v>
                </c:pt>
                <c:pt idx="2">
                  <c:v>Year 3</c:v>
                </c:pt>
                <c:pt idx="3">
                  <c:v>Year 4</c:v>
                </c:pt>
                <c:pt idx="4">
                  <c:v>Year 5</c:v>
                </c:pt>
              </c:strCache>
            </c:strRef>
          </c:cat>
          <c:val>
            <c:numRef>
              <c:f>Graphs!$E$386:$E$390</c:f>
              <c:numCache>
                <c:formatCode>"$"#,##0.00</c:formatCode>
                <c:ptCount val="5"/>
                <c:pt idx="0">
                  <c:v>78643.176666666666</c:v>
                </c:pt>
                <c:pt idx="1">
                  <c:v>43476.51</c:v>
                </c:pt>
                <c:pt idx="2">
                  <c:v>43476.51</c:v>
                </c:pt>
                <c:pt idx="3">
                  <c:v>43476.51</c:v>
                </c:pt>
                <c:pt idx="4">
                  <c:v>43476.51</c:v>
                </c:pt>
              </c:numCache>
            </c:numRef>
          </c:val>
        </c:ser>
        <c:ser>
          <c:idx val="3"/>
          <c:order val="2"/>
          <c:tx>
            <c:strRef>
              <c:f>Graphs!$E$110</c:f>
              <c:strCache>
                <c:ptCount val="1"/>
                <c:pt idx="0">
                  <c:v>Fully Hosted Cloud</c:v>
                </c:pt>
              </c:strCache>
            </c:strRef>
          </c:tx>
          <c:invertIfNegative val="0"/>
          <c:cat>
            <c:strRef>
              <c:f>Graphs!$C$386:$C$390</c:f>
              <c:strCache>
                <c:ptCount val="5"/>
                <c:pt idx="0">
                  <c:v>Year 1</c:v>
                </c:pt>
                <c:pt idx="1">
                  <c:v>Year 2</c:v>
                </c:pt>
                <c:pt idx="2">
                  <c:v>Year 3</c:v>
                </c:pt>
                <c:pt idx="3">
                  <c:v>Year 4</c:v>
                </c:pt>
                <c:pt idx="4">
                  <c:v>Year 5</c:v>
                </c:pt>
              </c:strCache>
            </c:strRef>
          </c:cat>
          <c:val>
            <c:numRef>
              <c:f>Graphs!$F$386:$F$390</c:f>
              <c:numCache>
                <c:formatCode>"$"#,##0.00</c:formatCode>
                <c:ptCount val="5"/>
                <c:pt idx="0">
                  <c:v>97680</c:v>
                </c:pt>
                <c:pt idx="1">
                  <c:v>70980</c:v>
                </c:pt>
                <c:pt idx="2">
                  <c:v>70980</c:v>
                </c:pt>
                <c:pt idx="3">
                  <c:v>70980</c:v>
                </c:pt>
                <c:pt idx="4">
                  <c:v>70980</c:v>
                </c:pt>
              </c:numCache>
            </c:numRef>
          </c:val>
        </c:ser>
        <c:dLbls>
          <c:showLegendKey val="0"/>
          <c:showVal val="0"/>
          <c:showCatName val="0"/>
          <c:showSerName val="0"/>
          <c:showPercent val="0"/>
          <c:showBubbleSize val="0"/>
        </c:dLbls>
        <c:gapWidth val="75"/>
        <c:shape val="box"/>
        <c:axId val="95919104"/>
        <c:axId val="49087040"/>
        <c:axId val="0"/>
      </c:bar3DChart>
      <c:catAx>
        <c:axId val="95919104"/>
        <c:scaling>
          <c:orientation val="minMax"/>
        </c:scaling>
        <c:delete val="0"/>
        <c:axPos val="b"/>
        <c:numFmt formatCode="General" sourceLinked="0"/>
        <c:majorTickMark val="none"/>
        <c:minorTickMark val="none"/>
        <c:tickLblPos val="nextTo"/>
        <c:crossAx val="49087040"/>
        <c:crosses val="autoZero"/>
        <c:auto val="1"/>
        <c:lblAlgn val="ctr"/>
        <c:lblOffset val="100"/>
        <c:noMultiLvlLbl val="0"/>
      </c:catAx>
      <c:valAx>
        <c:axId val="49087040"/>
        <c:scaling>
          <c:orientation val="minMax"/>
        </c:scaling>
        <c:delete val="0"/>
        <c:axPos val="l"/>
        <c:majorGridlines/>
        <c:numFmt formatCode="&quot;$&quot;#,##0.00" sourceLinked="1"/>
        <c:majorTickMark val="none"/>
        <c:minorTickMark val="none"/>
        <c:tickLblPos val="nextTo"/>
        <c:spPr>
          <a:ln w="9525">
            <a:noFill/>
          </a:ln>
        </c:spPr>
        <c:crossAx val="9591910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effectLst/>
              </a:rPr>
              <a:t>Medium</a:t>
            </a:r>
            <a:r>
              <a:rPr lang="en-US" baseline="0">
                <a:effectLst/>
              </a:rPr>
              <a:t> Farm w/ High Availability High User Count</a:t>
            </a:r>
            <a:br>
              <a:rPr lang="en-US" baseline="0">
                <a:effectLst/>
              </a:rPr>
            </a:br>
            <a:r>
              <a:rPr lang="en-US" baseline="0">
                <a:effectLst/>
              </a:rPr>
              <a:t>(Enterprise Licensing w/ SA)</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strRef>
              <c:f>Graphs!$C$110</c:f>
              <c:strCache>
                <c:ptCount val="1"/>
                <c:pt idx="0">
                  <c:v>Office 365 (SP Online Plan 2)</c:v>
                </c:pt>
              </c:strCache>
            </c:strRef>
          </c:tx>
          <c:invertIfNegative val="0"/>
          <c:cat>
            <c:strRef>
              <c:f>Graphs!$C$386:$C$390</c:f>
              <c:strCache>
                <c:ptCount val="5"/>
                <c:pt idx="0">
                  <c:v>Year 1</c:v>
                </c:pt>
                <c:pt idx="1">
                  <c:v>Year 2</c:v>
                </c:pt>
                <c:pt idx="2">
                  <c:v>Year 3</c:v>
                </c:pt>
                <c:pt idx="3">
                  <c:v>Year 4</c:v>
                </c:pt>
                <c:pt idx="4">
                  <c:v>Year 5</c:v>
                </c:pt>
              </c:strCache>
            </c:strRef>
          </c:cat>
          <c:val>
            <c:numRef>
              <c:f>Graphs!$H$386:$H$390</c:f>
              <c:numCache>
                <c:formatCode>"$"#,##0.00</c:formatCode>
                <c:ptCount val="5"/>
                <c:pt idx="0">
                  <c:v>192000</c:v>
                </c:pt>
                <c:pt idx="1">
                  <c:v>192000</c:v>
                </c:pt>
                <c:pt idx="2">
                  <c:v>192000</c:v>
                </c:pt>
                <c:pt idx="3">
                  <c:v>192000</c:v>
                </c:pt>
                <c:pt idx="4">
                  <c:v>192000</c:v>
                </c:pt>
              </c:numCache>
            </c:numRef>
          </c:val>
        </c:ser>
        <c:ser>
          <c:idx val="2"/>
          <c:order val="1"/>
          <c:tx>
            <c:strRef>
              <c:f>Graphs!$D$110</c:f>
              <c:strCache>
                <c:ptCount val="1"/>
                <c:pt idx="0">
                  <c:v>On Premises</c:v>
                </c:pt>
              </c:strCache>
            </c:strRef>
          </c:tx>
          <c:invertIfNegative val="0"/>
          <c:cat>
            <c:strRef>
              <c:f>Graphs!$C$386:$C$390</c:f>
              <c:strCache>
                <c:ptCount val="5"/>
                <c:pt idx="0">
                  <c:v>Year 1</c:v>
                </c:pt>
                <c:pt idx="1">
                  <c:v>Year 2</c:v>
                </c:pt>
                <c:pt idx="2">
                  <c:v>Year 3</c:v>
                </c:pt>
                <c:pt idx="3">
                  <c:v>Year 4</c:v>
                </c:pt>
                <c:pt idx="4">
                  <c:v>Year 5</c:v>
                </c:pt>
              </c:strCache>
            </c:strRef>
          </c:cat>
          <c:val>
            <c:numRef>
              <c:f>Graphs!$I$386:$I$390</c:f>
              <c:numCache>
                <c:formatCode>"$"#,##0.00</c:formatCode>
                <c:ptCount val="5"/>
                <c:pt idx="0">
                  <c:v>585943.17666666664</c:v>
                </c:pt>
                <c:pt idx="1">
                  <c:v>43476.51</c:v>
                </c:pt>
                <c:pt idx="2">
                  <c:v>43476.51</c:v>
                </c:pt>
                <c:pt idx="3">
                  <c:v>43476.51</c:v>
                </c:pt>
                <c:pt idx="4">
                  <c:v>43476.51</c:v>
                </c:pt>
              </c:numCache>
            </c:numRef>
          </c:val>
        </c:ser>
        <c:ser>
          <c:idx val="3"/>
          <c:order val="2"/>
          <c:tx>
            <c:strRef>
              <c:f>Graphs!$E$110</c:f>
              <c:strCache>
                <c:ptCount val="1"/>
                <c:pt idx="0">
                  <c:v>Fully Hosted Cloud</c:v>
                </c:pt>
              </c:strCache>
            </c:strRef>
          </c:tx>
          <c:invertIfNegative val="0"/>
          <c:cat>
            <c:strRef>
              <c:f>Graphs!$C$386:$C$390</c:f>
              <c:strCache>
                <c:ptCount val="5"/>
                <c:pt idx="0">
                  <c:v>Year 1</c:v>
                </c:pt>
                <c:pt idx="1">
                  <c:v>Year 2</c:v>
                </c:pt>
                <c:pt idx="2">
                  <c:v>Year 3</c:v>
                </c:pt>
                <c:pt idx="3">
                  <c:v>Year 4</c:v>
                </c:pt>
                <c:pt idx="4">
                  <c:v>Year 5</c:v>
                </c:pt>
              </c:strCache>
            </c:strRef>
          </c:cat>
          <c:val>
            <c:numRef>
              <c:f>Graphs!$J$386:$J$390</c:f>
              <c:numCache>
                <c:formatCode>"$"#,##0.00</c:formatCode>
                <c:ptCount val="5"/>
                <c:pt idx="0">
                  <c:v>604980</c:v>
                </c:pt>
                <c:pt idx="1">
                  <c:v>70980</c:v>
                </c:pt>
                <c:pt idx="2">
                  <c:v>70980</c:v>
                </c:pt>
                <c:pt idx="3">
                  <c:v>70980</c:v>
                </c:pt>
                <c:pt idx="4">
                  <c:v>70980</c:v>
                </c:pt>
              </c:numCache>
            </c:numRef>
          </c:val>
        </c:ser>
        <c:dLbls>
          <c:showLegendKey val="0"/>
          <c:showVal val="0"/>
          <c:showCatName val="0"/>
          <c:showSerName val="0"/>
          <c:showPercent val="0"/>
          <c:showBubbleSize val="0"/>
        </c:dLbls>
        <c:gapWidth val="75"/>
        <c:shape val="box"/>
        <c:axId val="96268288"/>
        <c:axId val="49089344"/>
        <c:axId val="0"/>
      </c:bar3DChart>
      <c:catAx>
        <c:axId val="96268288"/>
        <c:scaling>
          <c:orientation val="minMax"/>
        </c:scaling>
        <c:delete val="0"/>
        <c:axPos val="b"/>
        <c:numFmt formatCode="General" sourceLinked="0"/>
        <c:majorTickMark val="none"/>
        <c:minorTickMark val="none"/>
        <c:tickLblPos val="nextTo"/>
        <c:crossAx val="49089344"/>
        <c:crosses val="autoZero"/>
        <c:auto val="1"/>
        <c:lblAlgn val="ctr"/>
        <c:lblOffset val="100"/>
        <c:noMultiLvlLbl val="0"/>
      </c:catAx>
      <c:valAx>
        <c:axId val="49089344"/>
        <c:scaling>
          <c:orientation val="minMax"/>
        </c:scaling>
        <c:delete val="0"/>
        <c:axPos val="l"/>
        <c:majorGridlines/>
        <c:numFmt formatCode="&quot;$&quot;#,##0.00" sourceLinked="1"/>
        <c:majorTickMark val="none"/>
        <c:minorTickMark val="none"/>
        <c:tickLblPos val="nextTo"/>
        <c:spPr>
          <a:ln w="9525">
            <a:noFill/>
          </a:ln>
        </c:spPr>
        <c:crossAx val="9626828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Internal SharePoint Administrator Salaries</a:t>
            </a:r>
          </a:p>
        </c:rich>
      </c:tx>
      <c:layout/>
      <c:overlay val="0"/>
    </c:title>
    <c:autoTitleDeleted val="0"/>
    <c:plotArea>
      <c:layout/>
      <c:lineChart>
        <c:grouping val="standard"/>
        <c:varyColors val="0"/>
        <c:ser>
          <c:idx val="0"/>
          <c:order val="0"/>
          <c:tx>
            <c:strRef>
              <c:f>'Internal Salaries'!$D$9</c:f>
              <c:strCache>
                <c:ptCount val="1"/>
                <c:pt idx="0">
                  <c:v>Average Salary</c:v>
                </c:pt>
              </c:strCache>
            </c:strRef>
          </c:tx>
          <c:marker>
            <c:symbol val="none"/>
          </c:marker>
          <c:cat>
            <c:strRef>
              <c:f>'Internal Salaries'!$E$10:$E$29</c:f>
              <c:strCache>
                <c:ptCount val="20"/>
                <c:pt idx="0">
                  <c:v>Company A</c:v>
                </c:pt>
                <c:pt idx="1">
                  <c:v>Company B</c:v>
                </c:pt>
                <c:pt idx="2">
                  <c:v>Company C</c:v>
                </c:pt>
                <c:pt idx="3">
                  <c:v>Company D</c:v>
                </c:pt>
                <c:pt idx="4">
                  <c:v>Company E</c:v>
                </c:pt>
                <c:pt idx="5">
                  <c:v>Company F</c:v>
                </c:pt>
                <c:pt idx="6">
                  <c:v>Company G</c:v>
                </c:pt>
                <c:pt idx="7">
                  <c:v>Company H</c:v>
                </c:pt>
                <c:pt idx="8">
                  <c:v>Company I</c:v>
                </c:pt>
                <c:pt idx="9">
                  <c:v>Company J</c:v>
                </c:pt>
                <c:pt idx="10">
                  <c:v>Company K</c:v>
                </c:pt>
                <c:pt idx="11">
                  <c:v>Company L</c:v>
                </c:pt>
                <c:pt idx="12">
                  <c:v>Company M</c:v>
                </c:pt>
                <c:pt idx="13">
                  <c:v>Company N</c:v>
                </c:pt>
                <c:pt idx="14">
                  <c:v>Company O</c:v>
                </c:pt>
                <c:pt idx="15">
                  <c:v>Company P</c:v>
                </c:pt>
                <c:pt idx="16">
                  <c:v>Company Q</c:v>
                </c:pt>
                <c:pt idx="17">
                  <c:v>Company R</c:v>
                </c:pt>
                <c:pt idx="18">
                  <c:v>Company S</c:v>
                </c:pt>
                <c:pt idx="19">
                  <c:v>Company T</c:v>
                </c:pt>
              </c:strCache>
            </c:strRef>
          </c:cat>
          <c:val>
            <c:numRef>
              <c:f>'Internal Salaries'!$D$10:$D$29</c:f>
              <c:numCache>
                <c:formatCode>"$"#,##0.00</c:formatCode>
                <c:ptCount val="20"/>
                <c:pt idx="0">
                  <c:v>84464</c:v>
                </c:pt>
                <c:pt idx="1">
                  <c:v>60000</c:v>
                </c:pt>
                <c:pt idx="2">
                  <c:v>65500</c:v>
                </c:pt>
                <c:pt idx="3">
                  <c:v>97000</c:v>
                </c:pt>
                <c:pt idx="4">
                  <c:v>75000</c:v>
                </c:pt>
                <c:pt idx="5">
                  <c:v>66500</c:v>
                </c:pt>
                <c:pt idx="6">
                  <c:v>79000</c:v>
                </c:pt>
                <c:pt idx="7">
                  <c:v>120000</c:v>
                </c:pt>
                <c:pt idx="8">
                  <c:v>55500</c:v>
                </c:pt>
                <c:pt idx="9">
                  <c:v>83000</c:v>
                </c:pt>
                <c:pt idx="10">
                  <c:v>93500</c:v>
                </c:pt>
                <c:pt idx="11">
                  <c:v>96500</c:v>
                </c:pt>
                <c:pt idx="12">
                  <c:v>62500</c:v>
                </c:pt>
                <c:pt idx="13">
                  <c:v>55500</c:v>
                </c:pt>
                <c:pt idx="14">
                  <c:v>89500</c:v>
                </c:pt>
                <c:pt idx="15">
                  <c:v>70500</c:v>
                </c:pt>
                <c:pt idx="16">
                  <c:v>111000</c:v>
                </c:pt>
                <c:pt idx="17">
                  <c:v>81000</c:v>
                </c:pt>
                <c:pt idx="18">
                  <c:v>75500</c:v>
                </c:pt>
                <c:pt idx="19">
                  <c:v>59500</c:v>
                </c:pt>
              </c:numCache>
            </c:numRef>
          </c:val>
          <c:smooth val="0"/>
        </c:ser>
        <c:dLbls>
          <c:showLegendKey val="0"/>
          <c:showVal val="0"/>
          <c:showCatName val="0"/>
          <c:showSerName val="0"/>
          <c:showPercent val="0"/>
          <c:showBubbleSize val="0"/>
        </c:dLbls>
        <c:marker val="1"/>
        <c:smooth val="0"/>
        <c:axId val="98369536"/>
        <c:axId val="217866816"/>
      </c:lineChart>
      <c:catAx>
        <c:axId val="98369536"/>
        <c:scaling>
          <c:orientation val="minMax"/>
        </c:scaling>
        <c:delete val="0"/>
        <c:axPos val="b"/>
        <c:numFmt formatCode="General" sourceLinked="0"/>
        <c:majorTickMark val="none"/>
        <c:minorTickMark val="none"/>
        <c:tickLblPos val="nextTo"/>
        <c:crossAx val="217866816"/>
        <c:crosses val="autoZero"/>
        <c:auto val="1"/>
        <c:lblAlgn val="ctr"/>
        <c:lblOffset val="100"/>
        <c:noMultiLvlLbl val="0"/>
      </c:catAx>
      <c:valAx>
        <c:axId val="217866816"/>
        <c:scaling>
          <c:orientation val="minMax"/>
        </c:scaling>
        <c:delete val="0"/>
        <c:axPos val="l"/>
        <c:majorGridlines/>
        <c:title>
          <c:tx>
            <c:rich>
              <a:bodyPr/>
              <a:lstStyle/>
              <a:p>
                <a:pPr>
                  <a:defRPr/>
                </a:pPr>
                <a:r>
                  <a:rPr lang="en-US"/>
                  <a:t>Salaries</a:t>
                </a:r>
              </a:p>
            </c:rich>
          </c:tx>
          <c:layout/>
          <c:overlay val="0"/>
        </c:title>
        <c:numFmt formatCode="&quot;$&quot;#,##0.00" sourceLinked="1"/>
        <c:majorTickMark val="none"/>
        <c:minorTickMark val="none"/>
        <c:tickLblPos val="nextTo"/>
        <c:crossAx val="983695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Start Up Costs w/o Licensing or Hardware</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2"/>
          <c:order val="0"/>
          <c:tx>
            <c:v>On Premises Cost</c:v>
          </c:tx>
          <c:invertIfNegative val="0"/>
          <c:dLbls>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Graphs!$H$6:$H$10</c:f>
              <c:numCache>
                <c:formatCode>"$"#,##0.00</c:formatCode>
                <c:ptCount val="5"/>
                <c:pt idx="0">
                  <c:v>3946.2693581730769</c:v>
                </c:pt>
                <c:pt idx="1">
                  <c:v>5334.607638461539</c:v>
                </c:pt>
                <c:pt idx="2">
                  <c:v>9152.0434807291658</c:v>
                </c:pt>
                <c:pt idx="3">
                  <c:v>6407.4554697115382</c:v>
                </c:pt>
                <c:pt idx="4">
                  <c:v>11371.893871354168</c:v>
                </c:pt>
              </c:numCache>
            </c:numRef>
          </c:val>
        </c:ser>
        <c:ser>
          <c:idx val="3"/>
          <c:order val="1"/>
          <c:tx>
            <c:v>Fully Hosted Cloud Cost</c:v>
          </c:tx>
          <c:invertIfNegative val="0"/>
          <c:dLbls>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Graphs!$K$6:$K$10</c:f>
              <c:numCache>
                <c:formatCode>"$"#,##0.00</c:formatCode>
                <c:ptCount val="5"/>
                <c:pt idx="0">
                  <c:v>1670</c:v>
                </c:pt>
                <c:pt idx="1">
                  <c:v>2160</c:v>
                </c:pt>
                <c:pt idx="2">
                  <c:v>4325</c:v>
                </c:pt>
                <c:pt idx="3">
                  <c:v>2860</c:v>
                </c:pt>
                <c:pt idx="4">
                  <c:v>5915</c:v>
                </c:pt>
              </c:numCache>
            </c:numRef>
          </c:val>
        </c:ser>
        <c:ser>
          <c:idx val="0"/>
          <c:order val="2"/>
          <c:tx>
            <c:v>Apptix</c:v>
          </c:tx>
          <c:spPr>
            <a:solidFill>
              <a:schemeClr val="accent6">
                <a:lumMod val="75000"/>
              </a:schemeClr>
            </a:solidFill>
          </c:spPr>
          <c:invertIfNegative val="0"/>
          <c:dLbls>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Graphs!$AI$6:$AI$10</c:f>
              <c:numCache>
                <c:formatCode>"$"#,##0.00</c:formatCode>
                <c:ptCount val="5"/>
                <c:pt idx="0">
                  <c:v>0</c:v>
                </c:pt>
                <c:pt idx="1">
                  <c:v>1645</c:v>
                </c:pt>
                <c:pt idx="2">
                  <c:v>3445</c:v>
                </c:pt>
                <c:pt idx="3">
                  <c:v>2445</c:v>
                </c:pt>
                <c:pt idx="4">
                  <c:v>5145</c:v>
                </c:pt>
              </c:numCache>
            </c:numRef>
          </c:val>
        </c:ser>
        <c:dLbls>
          <c:showLegendKey val="0"/>
          <c:showVal val="1"/>
          <c:showCatName val="0"/>
          <c:showSerName val="0"/>
          <c:showPercent val="0"/>
          <c:showBubbleSize val="0"/>
        </c:dLbls>
        <c:gapWidth val="75"/>
        <c:shape val="box"/>
        <c:axId val="110710784"/>
        <c:axId val="49183488"/>
        <c:axId val="0"/>
      </c:bar3DChart>
      <c:catAx>
        <c:axId val="110710784"/>
        <c:scaling>
          <c:orientation val="minMax"/>
        </c:scaling>
        <c:delete val="0"/>
        <c:axPos val="b"/>
        <c:numFmt formatCode="General" sourceLinked="0"/>
        <c:majorTickMark val="none"/>
        <c:minorTickMark val="none"/>
        <c:tickLblPos val="nextTo"/>
        <c:crossAx val="49183488"/>
        <c:crosses val="autoZero"/>
        <c:auto val="1"/>
        <c:lblAlgn val="ctr"/>
        <c:lblOffset val="100"/>
        <c:noMultiLvlLbl val="0"/>
      </c:catAx>
      <c:valAx>
        <c:axId val="49183488"/>
        <c:scaling>
          <c:orientation val="minMax"/>
        </c:scaling>
        <c:delete val="0"/>
        <c:axPos val="l"/>
        <c:majorGridlines/>
        <c:numFmt formatCode="&quot;$&quot;#,##0.00" sourceLinked="1"/>
        <c:majorTickMark val="none"/>
        <c:minorTickMark val="none"/>
        <c:tickLblPos val="nextTo"/>
        <c:crossAx val="11071078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On Premises (w/</a:t>
            </a:r>
            <a:r>
              <a:rPr lang="en-US" baseline="0"/>
              <a:t> Internal Salaries + Professional Services) </a:t>
            </a:r>
            <a:r>
              <a:rPr lang="en-US"/>
              <a:t>vs FPWeb w/o Licensing or Hardware</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2"/>
          <c:order val="0"/>
          <c:tx>
            <c:v>On Premises Cost</c:v>
          </c:tx>
          <c:invertIfNegative val="0"/>
          <c:dLbls>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Graphs!$G$6:$G$10</c:f>
              <c:numCache>
                <c:formatCode>"$"#,##0.00</c:formatCode>
                <c:ptCount val="5"/>
                <c:pt idx="0">
                  <c:v>20260.411692307694</c:v>
                </c:pt>
                <c:pt idx="1">
                  <c:v>29982.44446153846</c:v>
                </c:pt>
                <c:pt idx="2">
                  <c:v>41594.12466666667</c:v>
                </c:pt>
                <c:pt idx="3">
                  <c:v>35112.403153846157</c:v>
                </c:pt>
                <c:pt idx="4">
                  <c:v>51943.176666666666</c:v>
                </c:pt>
              </c:numCache>
            </c:numRef>
          </c:val>
        </c:ser>
        <c:ser>
          <c:idx val="3"/>
          <c:order val="1"/>
          <c:tx>
            <c:v>Fully Hosted Cloud</c:v>
          </c:tx>
          <c:invertIfNegative val="0"/>
          <c:dLbls>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Graphs!$L$6:$L$10</c:f>
              <c:numCache>
                <c:formatCode>"$"#,##0.00</c:formatCode>
                <c:ptCount val="5"/>
                <c:pt idx="0">
                  <c:v>20040</c:v>
                </c:pt>
                <c:pt idx="1">
                  <c:v>25920</c:v>
                </c:pt>
                <c:pt idx="2">
                  <c:v>51900</c:v>
                </c:pt>
                <c:pt idx="3">
                  <c:v>34320</c:v>
                </c:pt>
                <c:pt idx="4">
                  <c:v>70980</c:v>
                </c:pt>
              </c:numCache>
            </c:numRef>
          </c:val>
        </c:ser>
        <c:ser>
          <c:idx val="0"/>
          <c:order val="2"/>
          <c:tx>
            <c:v>Apptix</c:v>
          </c:tx>
          <c:spPr>
            <a:solidFill>
              <a:schemeClr val="accent6">
                <a:lumMod val="75000"/>
              </a:schemeClr>
            </a:solidFill>
          </c:spPr>
          <c:invertIfNegative val="0"/>
          <c:dLbls>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Graphs!$AJ$6:$AJ$10</c:f>
              <c:numCache>
                <c:formatCode>"$"#,##0.00</c:formatCode>
                <c:ptCount val="5"/>
                <c:pt idx="0">
                  <c:v>0</c:v>
                </c:pt>
                <c:pt idx="1">
                  <c:v>19740</c:v>
                </c:pt>
                <c:pt idx="2">
                  <c:v>41340</c:v>
                </c:pt>
                <c:pt idx="3">
                  <c:v>29340</c:v>
                </c:pt>
                <c:pt idx="4">
                  <c:v>61740</c:v>
                </c:pt>
              </c:numCache>
            </c:numRef>
          </c:val>
        </c:ser>
        <c:dLbls>
          <c:showLegendKey val="0"/>
          <c:showVal val="1"/>
          <c:showCatName val="0"/>
          <c:showSerName val="0"/>
          <c:showPercent val="0"/>
          <c:showBubbleSize val="0"/>
        </c:dLbls>
        <c:gapWidth val="75"/>
        <c:shape val="box"/>
        <c:axId val="110712832"/>
        <c:axId val="49211072"/>
        <c:axId val="0"/>
      </c:bar3DChart>
      <c:catAx>
        <c:axId val="110712832"/>
        <c:scaling>
          <c:orientation val="minMax"/>
        </c:scaling>
        <c:delete val="0"/>
        <c:axPos val="b"/>
        <c:numFmt formatCode="General" sourceLinked="0"/>
        <c:majorTickMark val="none"/>
        <c:minorTickMark val="none"/>
        <c:tickLblPos val="nextTo"/>
        <c:crossAx val="49211072"/>
        <c:crosses val="autoZero"/>
        <c:auto val="1"/>
        <c:lblAlgn val="ctr"/>
        <c:lblOffset val="100"/>
        <c:noMultiLvlLbl val="0"/>
      </c:catAx>
      <c:valAx>
        <c:axId val="49211072"/>
        <c:scaling>
          <c:orientation val="minMax"/>
        </c:scaling>
        <c:delete val="0"/>
        <c:axPos val="l"/>
        <c:majorGridlines/>
        <c:numFmt formatCode="&quot;$&quot;#,##0.00" sourceLinked="1"/>
        <c:majorTickMark val="none"/>
        <c:minorTickMark val="none"/>
        <c:tickLblPos val="nextTo"/>
        <c:crossAx val="11071283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Fully Hosted Cloud - Initial Savings (w/o Licensing or Hardware)</a:t>
            </a:r>
            <a:r>
              <a:rPr lang="en-US" baseline="0"/>
              <a:t> </a:t>
            </a:r>
            <a:endParaRPr lang="en-US"/>
          </a:p>
        </c:rich>
      </c:tx>
      <c:layout/>
      <c:overlay val="0"/>
    </c:title>
    <c:autoTitleDeleted val="0"/>
    <c:plotArea>
      <c:layout/>
      <c:barChart>
        <c:barDir val="col"/>
        <c:grouping val="clustered"/>
        <c:varyColors val="0"/>
        <c:ser>
          <c:idx val="0"/>
          <c:order val="0"/>
          <c:tx>
            <c:v>Initial Savings</c:v>
          </c:tx>
          <c:spPr>
            <a:solidFill>
              <a:schemeClr val="accent4"/>
            </a:solidFill>
          </c:spPr>
          <c:invertIfNegative val="0"/>
          <c:cat>
            <c:strRef>
              <c:f>Graphs!$A$6:$A$10</c:f>
              <c:strCache>
                <c:ptCount val="5"/>
                <c:pt idx="0">
                  <c:v>Single Server Install (WFE and SQL on 1 VM)</c:v>
                </c:pt>
                <c:pt idx="1">
                  <c:v>Small Farm - Two Server Install (WFE and SQL)</c:v>
                </c:pt>
                <c:pt idx="2">
                  <c:v>Small Farm w/ High Availability (2 WFE - 2 SQL)</c:v>
                </c:pt>
                <c:pt idx="3">
                  <c:v>Medium Farm (1 WFE, 1 App/Index, 1 SQL)</c:v>
                </c:pt>
                <c:pt idx="4">
                  <c:v>Medium Farm w/ High Availability (2 WFE, 2 A/I, 2 SQL)</c:v>
                </c:pt>
              </c:strCache>
            </c:strRef>
          </c:cat>
          <c:val>
            <c:numRef>
              <c:f>Graphs!$M$6:$M$10</c:f>
              <c:numCache>
                <c:formatCode>"$"#,##0.00</c:formatCode>
                <c:ptCount val="5"/>
                <c:pt idx="0">
                  <c:v>2276.2693581730769</c:v>
                </c:pt>
                <c:pt idx="1">
                  <c:v>3174.607638461539</c:v>
                </c:pt>
                <c:pt idx="2">
                  <c:v>4827.0434807291658</c:v>
                </c:pt>
                <c:pt idx="3">
                  <c:v>3547.4554697115382</c:v>
                </c:pt>
                <c:pt idx="4">
                  <c:v>5456.8938713541684</c:v>
                </c:pt>
              </c:numCache>
            </c:numRef>
          </c:val>
        </c:ser>
        <c:dLbls>
          <c:showLegendKey val="0"/>
          <c:showVal val="0"/>
          <c:showCatName val="0"/>
          <c:showSerName val="0"/>
          <c:showPercent val="0"/>
          <c:showBubbleSize val="0"/>
        </c:dLbls>
        <c:gapWidth val="75"/>
        <c:overlap val="-25"/>
        <c:axId val="110713856"/>
        <c:axId val="49212800"/>
      </c:barChart>
      <c:catAx>
        <c:axId val="110713856"/>
        <c:scaling>
          <c:orientation val="minMax"/>
        </c:scaling>
        <c:delete val="0"/>
        <c:axPos val="b"/>
        <c:numFmt formatCode="General" sourceLinked="0"/>
        <c:majorTickMark val="none"/>
        <c:minorTickMark val="none"/>
        <c:tickLblPos val="nextTo"/>
        <c:crossAx val="49212800"/>
        <c:crosses val="autoZero"/>
        <c:auto val="1"/>
        <c:lblAlgn val="ctr"/>
        <c:lblOffset val="100"/>
        <c:noMultiLvlLbl val="0"/>
      </c:catAx>
      <c:valAx>
        <c:axId val="49212800"/>
        <c:scaling>
          <c:orientation val="minMax"/>
        </c:scaling>
        <c:delete val="0"/>
        <c:axPos val="l"/>
        <c:majorGridlines/>
        <c:numFmt formatCode="&quot;$&quot;#,##0.00" sourceLinked="1"/>
        <c:majorTickMark val="none"/>
        <c:minorTickMark val="none"/>
        <c:tickLblPos val="nextTo"/>
        <c:spPr>
          <a:ln w="9525">
            <a:noFill/>
          </a:ln>
        </c:spPr>
        <c:crossAx val="11071385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CCF14C.1B2C2C3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3" Type="http://schemas.openxmlformats.org/officeDocument/2006/relationships/chart" Target="../charts/chart19.xml"/><Relationship Id="rId18" Type="http://schemas.openxmlformats.org/officeDocument/2006/relationships/chart" Target="../charts/chart24.xml"/><Relationship Id="rId26" Type="http://schemas.openxmlformats.org/officeDocument/2006/relationships/chart" Target="../charts/chart32.xml"/><Relationship Id="rId39" Type="http://schemas.openxmlformats.org/officeDocument/2006/relationships/chart" Target="../charts/chart45.xml"/><Relationship Id="rId21" Type="http://schemas.openxmlformats.org/officeDocument/2006/relationships/chart" Target="../charts/chart27.xml"/><Relationship Id="rId34" Type="http://schemas.openxmlformats.org/officeDocument/2006/relationships/chart" Target="../charts/chart40.xml"/><Relationship Id="rId42" Type="http://schemas.openxmlformats.org/officeDocument/2006/relationships/chart" Target="../charts/chart48.xml"/><Relationship Id="rId47" Type="http://schemas.openxmlformats.org/officeDocument/2006/relationships/chart" Target="../charts/chart53.xml"/><Relationship Id="rId50" Type="http://schemas.openxmlformats.org/officeDocument/2006/relationships/chart" Target="../charts/chart56.xml"/><Relationship Id="rId7" Type="http://schemas.openxmlformats.org/officeDocument/2006/relationships/chart" Target="../charts/chart13.xml"/><Relationship Id="rId2" Type="http://schemas.openxmlformats.org/officeDocument/2006/relationships/chart" Target="../charts/chart8.xml"/><Relationship Id="rId16" Type="http://schemas.openxmlformats.org/officeDocument/2006/relationships/chart" Target="../charts/chart22.xml"/><Relationship Id="rId29" Type="http://schemas.openxmlformats.org/officeDocument/2006/relationships/chart" Target="../charts/chart35.xml"/><Relationship Id="rId11" Type="http://schemas.openxmlformats.org/officeDocument/2006/relationships/chart" Target="../charts/chart17.xml"/><Relationship Id="rId24" Type="http://schemas.openxmlformats.org/officeDocument/2006/relationships/chart" Target="../charts/chart30.xml"/><Relationship Id="rId32" Type="http://schemas.openxmlformats.org/officeDocument/2006/relationships/chart" Target="../charts/chart38.xml"/><Relationship Id="rId37" Type="http://schemas.openxmlformats.org/officeDocument/2006/relationships/chart" Target="../charts/chart43.xml"/><Relationship Id="rId40" Type="http://schemas.openxmlformats.org/officeDocument/2006/relationships/chart" Target="../charts/chart46.xml"/><Relationship Id="rId45" Type="http://schemas.openxmlformats.org/officeDocument/2006/relationships/chart" Target="../charts/chart51.xml"/><Relationship Id="rId5" Type="http://schemas.openxmlformats.org/officeDocument/2006/relationships/chart" Target="../charts/chart11.xml"/><Relationship Id="rId15" Type="http://schemas.openxmlformats.org/officeDocument/2006/relationships/chart" Target="../charts/chart21.xml"/><Relationship Id="rId23" Type="http://schemas.openxmlformats.org/officeDocument/2006/relationships/chart" Target="../charts/chart29.xml"/><Relationship Id="rId28" Type="http://schemas.openxmlformats.org/officeDocument/2006/relationships/chart" Target="../charts/chart34.xml"/><Relationship Id="rId36" Type="http://schemas.openxmlformats.org/officeDocument/2006/relationships/chart" Target="../charts/chart42.xml"/><Relationship Id="rId49" Type="http://schemas.openxmlformats.org/officeDocument/2006/relationships/chart" Target="../charts/chart55.xml"/><Relationship Id="rId10" Type="http://schemas.openxmlformats.org/officeDocument/2006/relationships/chart" Target="../charts/chart16.xml"/><Relationship Id="rId19" Type="http://schemas.openxmlformats.org/officeDocument/2006/relationships/chart" Target="../charts/chart25.xml"/><Relationship Id="rId31" Type="http://schemas.openxmlformats.org/officeDocument/2006/relationships/chart" Target="../charts/chart37.xml"/><Relationship Id="rId44" Type="http://schemas.openxmlformats.org/officeDocument/2006/relationships/chart" Target="../charts/chart50.xml"/><Relationship Id="rId4" Type="http://schemas.openxmlformats.org/officeDocument/2006/relationships/chart" Target="../charts/chart10.xml"/><Relationship Id="rId9" Type="http://schemas.openxmlformats.org/officeDocument/2006/relationships/chart" Target="../charts/chart15.xml"/><Relationship Id="rId14" Type="http://schemas.openxmlformats.org/officeDocument/2006/relationships/chart" Target="../charts/chart20.xml"/><Relationship Id="rId22" Type="http://schemas.openxmlformats.org/officeDocument/2006/relationships/chart" Target="../charts/chart28.xml"/><Relationship Id="rId27" Type="http://schemas.openxmlformats.org/officeDocument/2006/relationships/chart" Target="../charts/chart33.xml"/><Relationship Id="rId30" Type="http://schemas.openxmlformats.org/officeDocument/2006/relationships/chart" Target="../charts/chart36.xml"/><Relationship Id="rId35" Type="http://schemas.openxmlformats.org/officeDocument/2006/relationships/chart" Target="../charts/chart41.xml"/><Relationship Id="rId43" Type="http://schemas.openxmlformats.org/officeDocument/2006/relationships/chart" Target="../charts/chart49.xml"/><Relationship Id="rId48" Type="http://schemas.openxmlformats.org/officeDocument/2006/relationships/chart" Target="../charts/chart54.xml"/><Relationship Id="rId8" Type="http://schemas.openxmlformats.org/officeDocument/2006/relationships/chart" Target="../charts/chart14.xml"/><Relationship Id="rId51" Type="http://schemas.openxmlformats.org/officeDocument/2006/relationships/chart" Target="../charts/chart57.xml"/><Relationship Id="rId3" Type="http://schemas.openxmlformats.org/officeDocument/2006/relationships/chart" Target="../charts/chart9.xml"/><Relationship Id="rId12" Type="http://schemas.openxmlformats.org/officeDocument/2006/relationships/chart" Target="../charts/chart18.xml"/><Relationship Id="rId17" Type="http://schemas.openxmlformats.org/officeDocument/2006/relationships/chart" Target="../charts/chart23.xml"/><Relationship Id="rId25" Type="http://schemas.openxmlformats.org/officeDocument/2006/relationships/chart" Target="../charts/chart31.xml"/><Relationship Id="rId33" Type="http://schemas.openxmlformats.org/officeDocument/2006/relationships/chart" Target="../charts/chart39.xml"/><Relationship Id="rId38" Type="http://schemas.openxmlformats.org/officeDocument/2006/relationships/chart" Target="../charts/chart44.xml"/><Relationship Id="rId46" Type="http://schemas.openxmlformats.org/officeDocument/2006/relationships/chart" Target="../charts/chart52.xml"/><Relationship Id="rId20" Type="http://schemas.openxmlformats.org/officeDocument/2006/relationships/chart" Target="../charts/chart26.xml"/><Relationship Id="rId41" Type="http://schemas.openxmlformats.org/officeDocument/2006/relationships/chart" Target="../charts/chart47.xml"/><Relationship Id="rId1" Type="http://schemas.openxmlformats.org/officeDocument/2006/relationships/chart" Target="../charts/chart7.xml"/><Relationship Id="rId6"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11</xdr:col>
      <xdr:colOff>161925</xdr:colOff>
      <xdr:row>15</xdr:row>
      <xdr:rowOff>128587</xdr:rowOff>
    </xdr:from>
    <xdr:to>
      <xdr:col>18</xdr:col>
      <xdr:colOff>466725</xdr:colOff>
      <xdr:row>30</xdr:row>
      <xdr:rowOff>14287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33</xdr:row>
      <xdr:rowOff>171450</xdr:rowOff>
    </xdr:from>
    <xdr:to>
      <xdr:col>18</xdr:col>
      <xdr:colOff>466725</xdr:colOff>
      <xdr:row>48</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166687</xdr:colOff>
      <xdr:row>52</xdr:row>
      <xdr:rowOff>11906</xdr:rowOff>
    </xdr:from>
    <xdr:to>
      <xdr:col>18</xdr:col>
      <xdr:colOff>471487</xdr:colOff>
      <xdr:row>66</xdr:row>
      <xdr:rowOff>88106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190500</xdr:colOff>
      <xdr:row>69</xdr:row>
      <xdr:rowOff>35718</xdr:rowOff>
    </xdr:from>
    <xdr:to>
      <xdr:col>18</xdr:col>
      <xdr:colOff>495300</xdr:colOff>
      <xdr:row>83</xdr:row>
      <xdr:rowOff>111918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119063</xdr:colOff>
      <xdr:row>87</xdr:row>
      <xdr:rowOff>23812</xdr:rowOff>
    </xdr:from>
    <xdr:to>
      <xdr:col>18</xdr:col>
      <xdr:colOff>423863</xdr:colOff>
      <xdr:row>101</xdr:row>
      <xdr:rowOff>100012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571500</xdr:colOff>
      <xdr:row>2</xdr:row>
      <xdr:rowOff>142875</xdr:rowOff>
    </xdr:from>
    <xdr:to>
      <xdr:col>10</xdr:col>
      <xdr:colOff>504825</xdr:colOff>
      <xdr:row>12</xdr:row>
      <xdr:rowOff>152400</xdr:rowOff>
    </xdr:to>
    <xdr:pic>
      <xdr:nvPicPr>
        <xdr:cNvPr id="2" name="Picture 1" descr="cid:image001.png@01CCF14C.1B2C2C3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476750" y="523875"/>
          <a:ext cx="4810125" cy="191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95250</xdr:rowOff>
    </xdr:from>
    <xdr:to>
      <xdr:col>0</xdr:col>
      <xdr:colOff>2076450</xdr:colOff>
      <xdr:row>27</xdr:row>
      <xdr:rowOff>47625</xdr:rowOff>
    </xdr:to>
    <xdr:pic>
      <xdr:nvPicPr>
        <xdr:cNvPr id="4" name="Picture 1" descr="Description: Fig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14925"/>
          <a:ext cx="2076450" cy="2238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15</xdr:row>
      <xdr:rowOff>19050</xdr:rowOff>
    </xdr:from>
    <xdr:to>
      <xdr:col>1</xdr:col>
      <xdr:colOff>2781935</xdr:colOff>
      <xdr:row>28</xdr:row>
      <xdr:rowOff>9525</xdr:rowOff>
    </xdr:to>
    <xdr:pic>
      <xdr:nvPicPr>
        <xdr:cNvPr id="5" name="Picture 4" descr="Fig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52650" y="4314825"/>
          <a:ext cx="2734310" cy="2466975"/>
        </a:xfrm>
        <a:prstGeom prst="rect">
          <a:avLst/>
        </a:prstGeom>
        <a:noFill/>
        <a:ln>
          <a:noFill/>
        </a:ln>
      </xdr:spPr>
    </xdr:pic>
    <xdr:clientData/>
  </xdr:twoCellAnchor>
  <xdr:twoCellAnchor editAs="oneCell">
    <xdr:from>
      <xdr:col>2</xdr:col>
      <xdr:colOff>0</xdr:colOff>
      <xdr:row>16</xdr:row>
      <xdr:rowOff>57150</xdr:rowOff>
    </xdr:from>
    <xdr:to>
      <xdr:col>2</xdr:col>
      <xdr:colOff>3044825</xdr:colOff>
      <xdr:row>30</xdr:row>
      <xdr:rowOff>12700</xdr:rowOff>
    </xdr:to>
    <xdr:pic>
      <xdr:nvPicPr>
        <xdr:cNvPr id="6" name="Picture 5" descr="Fig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6350" y="4543425"/>
          <a:ext cx="3044825" cy="26225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171449</xdr:colOff>
      <xdr:row>8</xdr:row>
      <xdr:rowOff>109536</xdr:rowOff>
    </xdr:from>
    <xdr:to>
      <xdr:col>10</xdr:col>
      <xdr:colOff>19049</xdr:colOff>
      <xdr:row>29</xdr:row>
      <xdr:rowOff>57149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27</xdr:row>
      <xdr:rowOff>46946</xdr:rowOff>
    </xdr:from>
    <xdr:to>
      <xdr:col>1</xdr:col>
      <xdr:colOff>748394</xdr:colOff>
      <xdr:row>54</xdr:row>
      <xdr:rowOff>163286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1102179</xdr:colOff>
      <xdr:row>27</xdr:row>
      <xdr:rowOff>28576</xdr:rowOff>
    </xdr:from>
    <xdr:to>
      <xdr:col>5</xdr:col>
      <xdr:colOff>449034</xdr:colOff>
      <xdr:row>55</xdr:row>
      <xdr:rowOff>13607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707571</xdr:colOff>
      <xdr:row>27</xdr:row>
      <xdr:rowOff>9524</xdr:rowOff>
    </xdr:from>
    <xdr:to>
      <xdr:col>7</xdr:col>
      <xdr:colOff>353786</xdr:colOff>
      <xdr:row>51</xdr:row>
      <xdr:rowOff>13608</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680356</xdr:colOff>
      <xdr:row>27</xdr:row>
      <xdr:rowOff>9523</xdr:rowOff>
    </xdr:from>
    <xdr:to>
      <xdr:col>12</xdr:col>
      <xdr:colOff>1265464</xdr:colOff>
      <xdr:row>53</xdr:row>
      <xdr:rowOff>40820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1415142</xdr:colOff>
      <xdr:row>27</xdr:row>
      <xdr:rowOff>0</xdr:rowOff>
    </xdr:from>
    <xdr:to>
      <xdr:col>16</xdr:col>
      <xdr:colOff>367392</xdr:colOff>
      <xdr:row>53</xdr:row>
      <xdr:rowOff>17690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176892</xdr:colOff>
      <xdr:row>133</xdr:row>
      <xdr:rowOff>9523</xdr:rowOff>
    </xdr:from>
    <xdr:to>
      <xdr:col>1</xdr:col>
      <xdr:colOff>925286</xdr:colOff>
      <xdr:row>152</xdr:row>
      <xdr:rowOff>149678</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133</xdr:row>
      <xdr:rowOff>0</xdr:rowOff>
    </xdr:from>
    <xdr:to>
      <xdr:col>5</xdr:col>
      <xdr:colOff>911679</xdr:colOff>
      <xdr:row>152</xdr:row>
      <xdr:rowOff>140155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190500</xdr:colOff>
      <xdr:row>154</xdr:row>
      <xdr:rowOff>149679</xdr:rowOff>
    </xdr:from>
    <xdr:to>
      <xdr:col>1</xdr:col>
      <xdr:colOff>938894</xdr:colOff>
      <xdr:row>174</xdr:row>
      <xdr:rowOff>99334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155</xdr:row>
      <xdr:rowOff>0</xdr:rowOff>
    </xdr:from>
    <xdr:to>
      <xdr:col>5</xdr:col>
      <xdr:colOff>911679</xdr:colOff>
      <xdr:row>174</xdr:row>
      <xdr:rowOff>140155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158750</xdr:colOff>
      <xdr:row>176</xdr:row>
      <xdr:rowOff>31750</xdr:rowOff>
    </xdr:from>
    <xdr:to>
      <xdr:col>1</xdr:col>
      <xdr:colOff>895804</xdr:colOff>
      <xdr:row>195</xdr:row>
      <xdr:rowOff>171905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1451428</xdr:colOff>
      <xdr:row>176</xdr:row>
      <xdr:rowOff>56696</xdr:rowOff>
    </xdr:from>
    <xdr:to>
      <xdr:col>5</xdr:col>
      <xdr:colOff>891268</xdr:colOff>
      <xdr:row>196</xdr:row>
      <xdr:rowOff>6351</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179917</xdr:colOff>
      <xdr:row>56</xdr:row>
      <xdr:rowOff>31751</xdr:rowOff>
    </xdr:from>
    <xdr:to>
      <xdr:col>1</xdr:col>
      <xdr:colOff>765025</xdr:colOff>
      <xdr:row>82</xdr:row>
      <xdr:rowOff>158751</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1026583</xdr:colOff>
      <xdr:row>56</xdr:row>
      <xdr:rowOff>105833</xdr:rowOff>
    </xdr:from>
    <xdr:to>
      <xdr:col>5</xdr:col>
      <xdr:colOff>373438</xdr:colOff>
      <xdr:row>82</xdr:row>
      <xdr:rowOff>95250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656167</xdr:colOff>
      <xdr:row>56</xdr:row>
      <xdr:rowOff>158750</xdr:rowOff>
    </xdr:from>
    <xdr:to>
      <xdr:col>7</xdr:col>
      <xdr:colOff>302382</xdr:colOff>
      <xdr:row>83</xdr:row>
      <xdr:rowOff>15875</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174625</xdr:colOff>
      <xdr:row>83</xdr:row>
      <xdr:rowOff>142875</xdr:rowOff>
    </xdr:from>
    <xdr:to>
      <xdr:col>1</xdr:col>
      <xdr:colOff>759733</xdr:colOff>
      <xdr:row>104</xdr:row>
      <xdr:rowOff>158750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1031875</xdr:colOff>
      <xdr:row>84</xdr:row>
      <xdr:rowOff>1</xdr:rowOff>
    </xdr:from>
    <xdr:to>
      <xdr:col>5</xdr:col>
      <xdr:colOff>444500</xdr:colOff>
      <xdr:row>105</xdr:row>
      <xdr:rowOff>63501</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904875</xdr:colOff>
      <xdr:row>56</xdr:row>
      <xdr:rowOff>174625</xdr:rowOff>
    </xdr:from>
    <xdr:to>
      <xdr:col>12</xdr:col>
      <xdr:colOff>1489983</xdr:colOff>
      <xdr:row>83</xdr:row>
      <xdr:rowOff>15422</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1905000</xdr:colOff>
      <xdr:row>57</xdr:row>
      <xdr:rowOff>0</xdr:rowOff>
    </xdr:from>
    <xdr:to>
      <xdr:col>16</xdr:col>
      <xdr:colOff>857250</xdr:colOff>
      <xdr:row>83</xdr:row>
      <xdr:rowOff>17690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587375</xdr:colOff>
      <xdr:row>84</xdr:row>
      <xdr:rowOff>31749</xdr:rowOff>
    </xdr:from>
    <xdr:to>
      <xdr:col>7</xdr:col>
      <xdr:colOff>809625</xdr:colOff>
      <xdr:row>104</xdr:row>
      <xdr:rowOff>174624</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31750</xdr:colOff>
      <xdr:row>84</xdr:row>
      <xdr:rowOff>1</xdr:rowOff>
    </xdr:from>
    <xdr:to>
      <xdr:col>12</xdr:col>
      <xdr:colOff>1696358</xdr:colOff>
      <xdr:row>105</xdr:row>
      <xdr:rowOff>158751</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13</xdr:col>
      <xdr:colOff>47624</xdr:colOff>
      <xdr:row>84</xdr:row>
      <xdr:rowOff>0</xdr:rowOff>
    </xdr:from>
    <xdr:to>
      <xdr:col>16</xdr:col>
      <xdr:colOff>1142999</xdr:colOff>
      <xdr:row>105</xdr:row>
      <xdr:rowOff>63500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761999</xdr:colOff>
      <xdr:row>26</xdr:row>
      <xdr:rowOff>144462</xdr:rowOff>
    </xdr:from>
    <xdr:to>
      <xdr:col>21</xdr:col>
      <xdr:colOff>1073727</xdr:colOff>
      <xdr:row>52</xdr:row>
      <xdr:rowOff>158750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21</xdr:col>
      <xdr:colOff>1301750</xdr:colOff>
      <xdr:row>26</xdr:row>
      <xdr:rowOff>174625</xdr:rowOff>
    </xdr:from>
    <xdr:to>
      <xdr:col>26</xdr:col>
      <xdr:colOff>398318</xdr:colOff>
      <xdr:row>52</xdr:row>
      <xdr:rowOff>188913</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26</xdr:col>
      <xdr:colOff>952499</xdr:colOff>
      <xdr:row>27</xdr:row>
      <xdr:rowOff>17319</xdr:rowOff>
    </xdr:from>
    <xdr:to>
      <xdr:col>31</xdr:col>
      <xdr:colOff>865908</xdr:colOff>
      <xdr:row>53</xdr:row>
      <xdr:rowOff>31607</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31</xdr:col>
      <xdr:colOff>1056409</xdr:colOff>
      <xdr:row>27</xdr:row>
      <xdr:rowOff>34636</xdr:rowOff>
    </xdr:from>
    <xdr:to>
      <xdr:col>37</xdr:col>
      <xdr:colOff>1330614</xdr:colOff>
      <xdr:row>53</xdr:row>
      <xdr:rowOff>48924</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10</xdr:col>
      <xdr:colOff>0</xdr:colOff>
      <xdr:row>133</xdr:row>
      <xdr:rowOff>0</xdr:rowOff>
    </xdr:from>
    <xdr:to>
      <xdr:col>13</xdr:col>
      <xdr:colOff>986519</xdr:colOff>
      <xdr:row>152</xdr:row>
      <xdr:rowOff>140155</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14</xdr:col>
      <xdr:colOff>0</xdr:colOff>
      <xdr:row>133</xdr:row>
      <xdr:rowOff>0</xdr:rowOff>
    </xdr:from>
    <xdr:to>
      <xdr:col>16</xdr:col>
      <xdr:colOff>1213304</xdr:colOff>
      <xdr:row>152</xdr:row>
      <xdr:rowOff>140155</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10</xdr:col>
      <xdr:colOff>0</xdr:colOff>
      <xdr:row>155</xdr:row>
      <xdr:rowOff>0</xdr:rowOff>
    </xdr:from>
    <xdr:to>
      <xdr:col>13</xdr:col>
      <xdr:colOff>986519</xdr:colOff>
      <xdr:row>174</xdr:row>
      <xdr:rowOff>140155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14</xdr:col>
      <xdr:colOff>0</xdr:colOff>
      <xdr:row>155</xdr:row>
      <xdr:rowOff>0</xdr:rowOff>
    </xdr:from>
    <xdr:to>
      <xdr:col>16</xdr:col>
      <xdr:colOff>1213304</xdr:colOff>
      <xdr:row>174</xdr:row>
      <xdr:rowOff>140155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176892</xdr:colOff>
      <xdr:row>225</xdr:row>
      <xdr:rowOff>9523</xdr:rowOff>
    </xdr:from>
    <xdr:to>
      <xdr:col>1</xdr:col>
      <xdr:colOff>925286</xdr:colOff>
      <xdr:row>244</xdr:row>
      <xdr:rowOff>149678</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0</xdr:colOff>
      <xdr:row>225</xdr:row>
      <xdr:rowOff>0</xdr:rowOff>
    </xdr:from>
    <xdr:to>
      <xdr:col>5</xdr:col>
      <xdr:colOff>911679</xdr:colOff>
      <xdr:row>244</xdr:row>
      <xdr:rowOff>140155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190500</xdr:colOff>
      <xdr:row>246</xdr:row>
      <xdr:rowOff>149679</xdr:rowOff>
    </xdr:from>
    <xdr:to>
      <xdr:col>1</xdr:col>
      <xdr:colOff>938894</xdr:colOff>
      <xdr:row>266</xdr:row>
      <xdr:rowOff>99334</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0</xdr:colOff>
      <xdr:row>247</xdr:row>
      <xdr:rowOff>0</xdr:rowOff>
    </xdr:from>
    <xdr:to>
      <xdr:col>5</xdr:col>
      <xdr:colOff>911679</xdr:colOff>
      <xdr:row>266</xdr:row>
      <xdr:rowOff>140155</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158750</xdr:colOff>
      <xdr:row>268</xdr:row>
      <xdr:rowOff>31750</xdr:rowOff>
    </xdr:from>
    <xdr:to>
      <xdr:col>1</xdr:col>
      <xdr:colOff>895804</xdr:colOff>
      <xdr:row>287</xdr:row>
      <xdr:rowOff>171905</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1451428</xdr:colOff>
      <xdr:row>268</xdr:row>
      <xdr:rowOff>56696</xdr:rowOff>
    </xdr:from>
    <xdr:to>
      <xdr:col>5</xdr:col>
      <xdr:colOff>891268</xdr:colOff>
      <xdr:row>288</xdr:row>
      <xdr:rowOff>6351</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10</xdr:col>
      <xdr:colOff>0</xdr:colOff>
      <xdr:row>225</xdr:row>
      <xdr:rowOff>0</xdr:rowOff>
    </xdr:from>
    <xdr:to>
      <xdr:col>13</xdr:col>
      <xdr:colOff>986519</xdr:colOff>
      <xdr:row>244</xdr:row>
      <xdr:rowOff>140155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14</xdr:col>
      <xdr:colOff>0</xdr:colOff>
      <xdr:row>225</xdr:row>
      <xdr:rowOff>0</xdr:rowOff>
    </xdr:from>
    <xdr:to>
      <xdr:col>16</xdr:col>
      <xdr:colOff>1213304</xdr:colOff>
      <xdr:row>244</xdr:row>
      <xdr:rowOff>140155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10</xdr:col>
      <xdr:colOff>0</xdr:colOff>
      <xdr:row>247</xdr:row>
      <xdr:rowOff>0</xdr:rowOff>
    </xdr:from>
    <xdr:to>
      <xdr:col>13</xdr:col>
      <xdr:colOff>986519</xdr:colOff>
      <xdr:row>266</xdr:row>
      <xdr:rowOff>140155</xdr:rowOff>
    </xdr:to>
    <xdr:graphicFrame macro="">
      <xdr:nvGraphicFramePr>
        <xdr:cNvPr id="4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14</xdr:col>
      <xdr:colOff>0</xdr:colOff>
      <xdr:row>247</xdr:row>
      <xdr:rowOff>0</xdr:rowOff>
    </xdr:from>
    <xdr:to>
      <xdr:col>16</xdr:col>
      <xdr:colOff>1213304</xdr:colOff>
      <xdr:row>266</xdr:row>
      <xdr:rowOff>140155</xdr:rowOff>
    </xdr:to>
    <xdr:graphicFrame macro="">
      <xdr:nvGraphicFramePr>
        <xdr:cNvPr id="41"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0</xdr:col>
      <xdr:colOff>176892</xdr:colOff>
      <xdr:row>317</xdr:row>
      <xdr:rowOff>9523</xdr:rowOff>
    </xdr:from>
    <xdr:to>
      <xdr:col>1</xdr:col>
      <xdr:colOff>925286</xdr:colOff>
      <xdr:row>336</xdr:row>
      <xdr:rowOff>149678</xdr:rowOff>
    </xdr:to>
    <xdr:graphicFrame macro="">
      <xdr:nvGraphicFramePr>
        <xdr:cNvPr id="4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xdr:col>
      <xdr:colOff>0</xdr:colOff>
      <xdr:row>317</xdr:row>
      <xdr:rowOff>0</xdr:rowOff>
    </xdr:from>
    <xdr:to>
      <xdr:col>5</xdr:col>
      <xdr:colOff>911679</xdr:colOff>
      <xdr:row>336</xdr:row>
      <xdr:rowOff>140155</xdr:rowOff>
    </xdr:to>
    <xdr:graphicFrame macro="">
      <xdr:nvGraphicFramePr>
        <xdr:cNvPr id="4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190500</xdr:colOff>
      <xdr:row>338</xdr:row>
      <xdr:rowOff>149679</xdr:rowOff>
    </xdr:from>
    <xdr:to>
      <xdr:col>1</xdr:col>
      <xdr:colOff>938894</xdr:colOff>
      <xdr:row>358</xdr:row>
      <xdr:rowOff>99334</xdr:rowOff>
    </xdr:to>
    <xdr:graphicFrame macro="">
      <xdr:nvGraphicFramePr>
        <xdr:cNvPr id="44"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2</xdr:col>
      <xdr:colOff>0</xdr:colOff>
      <xdr:row>339</xdr:row>
      <xdr:rowOff>0</xdr:rowOff>
    </xdr:from>
    <xdr:to>
      <xdr:col>5</xdr:col>
      <xdr:colOff>911679</xdr:colOff>
      <xdr:row>358</xdr:row>
      <xdr:rowOff>140155</xdr:rowOff>
    </xdr:to>
    <xdr:graphicFrame macro="">
      <xdr:nvGraphicFramePr>
        <xdr:cNvPr id="45"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0</xdr:col>
      <xdr:colOff>158750</xdr:colOff>
      <xdr:row>360</xdr:row>
      <xdr:rowOff>31750</xdr:rowOff>
    </xdr:from>
    <xdr:to>
      <xdr:col>1</xdr:col>
      <xdr:colOff>895804</xdr:colOff>
      <xdr:row>379</xdr:row>
      <xdr:rowOff>171905</xdr:rowOff>
    </xdr:to>
    <xdr:graphicFrame macro="">
      <xdr:nvGraphicFramePr>
        <xdr:cNvPr id="46"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1451428</xdr:colOff>
      <xdr:row>360</xdr:row>
      <xdr:rowOff>56696</xdr:rowOff>
    </xdr:from>
    <xdr:to>
      <xdr:col>5</xdr:col>
      <xdr:colOff>891268</xdr:colOff>
      <xdr:row>380</xdr:row>
      <xdr:rowOff>6351</xdr:rowOff>
    </xdr:to>
    <xdr:graphicFrame macro="">
      <xdr:nvGraphicFramePr>
        <xdr:cNvPr id="47" name="Chart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10</xdr:col>
      <xdr:colOff>0</xdr:colOff>
      <xdr:row>317</xdr:row>
      <xdr:rowOff>0</xdr:rowOff>
    </xdr:from>
    <xdr:to>
      <xdr:col>13</xdr:col>
      <xdr:colOff>986519</xdr:colOff>
      <xdr:row>336</xdr:row>
      <xdr:rowOff>140155</xdr:rowOff>
    </xdr:to>
    <xdr:graphicFrame macro="">
      <xdr:nvGraphicFramePr>
        <xdr:cNvPr id="48"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14</xdr:col>
      <xdr:colOff>0</xdr:colOff>
      <xdr:row>317</xdr:row>
      <xdr:rowOff>0</xdr:rowOff>
    </xdr:from>
    <xdr:to>
      <xdr:col>16</xdr:col>
      <xdr:colOff>1213304</xdr:colOff>
      <xdr:row>336</xdr:row>
      <xdr:rowOff>140155</xdr:rowOff>
    </xdr:to>
    <xdr:graphicFrame macro="">
      <xdr:nvGraphicFramePr>
        <xdr:cNvPr id="49"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10</xdr:col>
      <xdr:colOff>0</xdr:colOff>
      <xdr:row>339</xdr:row>
      <xdr:rowOff>0</xdr:rowOff>
    </xdr:from>
    <xdr:to>
      <xdr:col>13</xdr:col>
      <xdr:colOff>986519</xdr:colOff>
      <xdr:row>358</xdr:row>
      <xdr:rowOff>140155</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14</xdr:col>
      <xdr:colOff>0</xdr:colOff>
      <xdr:row>339</xdr:row>
      <xdr:rowOff>0</xdr:rowOff>
    </xdr:from>
    <xdr:to>
      <xdr:col>16</xdr:col>
      <xdr:colOff>1213304</xdr:colOff>
      <xdr:row>358</xdr:row>
      <xdr:rowOff>140155</xdr:rowOff>
    </xdr:to>
    <xdr:graphicFrame macro="">
      <xdr:nvGraphicFramePr>
        <xdr:cNvPr id="51"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1489365</xdr:colOff>
      <xdr:row>390</xdr:row>
      <xdr:rowOff>138546</xdr:rowOff>
    </xdr:from>
    <xdr:to>
      <xdr:col>6</xdr:col>
      <xdr:colOff>17319</xdr:colOff>
      <xdr:row>411</xdr:row>
      <xdr:rowOff>34636</xdr:rowOff>
    </xdr:to>
    <xdr:graphicFrame macro="">
      <xdr:nvGraphicFramePr>
        <xdr:cNvPr id="52"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6</xdr:col>
      <xdr:colOff>51955</xdr:colOff>
      <xdr:row>390</xdr:row>
      <xdr:rowOff>138545</xdr:rowOff>
    </xdr:from>
    <xdr:to>
      <xdr:col>10</xdr:col>
      <xdr:colOff>623455</xdr:colOff>
      <xdr:row>411</xdr:row>
      <xdr:rowOff>69273</xdr:rowOff>
    </xdr:to>
    <xdr:graphicFrame macro="">
      <xdr:nvGraphicFramePr>
        <xdr:cNvPr id="53" name="Chart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wsDr>
</file>

<file path=xl/tables/table1.xml><?xml version="1.0" encoding="utf-8"?>
<table xmlns="http://schemas.openxmlformats.org/spreadsheetml/2006/main" id="1" name="Table1" displayName="Table1" ref="A17:H30" totalsRowShown="0">
  <autoFilter ref="A17:H30"/>
  <tableColumns count="8">
    <tableColumn id="1" name="Task"/>
    <tableColumn id="2" name="Low*"/>
    <tableColumn id="3" name="High*"/>
    <tableColumn id="4" name="Rate"/>
    <tableColumn id="5" name="Low Total"/>
    <tableColumn id="6" name="High Total"/>
    <tableColumn id="7" name="Company Reference ID"/>
    <tableColumn id="8" name="Hour Average" dataDxfId="225">
      <calculatedColumnFormula>AVERAGE(Table1[[#This Row],[Low*]:[High*]])</calculatedColumnFormula>
    </tableColumn>
  </tableColumns>
  <tableStyleInfo name="TableStyleLight8" showFirstColumn="0" showLastColumn="0" showRowStripes="1" showColumnStripes="0"/>
</table>
</file>

<file path=xl/tables/table10.xml><?xml version="1.0" encoding="utf-8"?>
<table xmlns="http://schemas.openxmlformats.org/spreadsheetml/2006/main" id="12" name="Table12" displayName="Table12" ref="A3:B6" totalsRowShown="0">
  <autoFilter ref="A3:B6"/>
  <tableColumns count="2">
    <tableColumn id="1" name="Quote" dataDxfId="220"/>
    <tableColumn id="2" name="Company Reference ID"/>
  </tableColumns>
  <tableStyleInfo name="TableStyleLight8" showFirstColumn="0" showLastColumn="0" showRowStripes="1" showColumnStripes="0"/>
</table>
</file>

<file path=xl/tables/table11.xml><?xml version="1.0" encoding="utf-8"?>
<table xmlns="http://schemas.openxmlformats.org/spreadsheetml/2006/main" id="13" name="Table14" displayName="Table14" ref="A9:E30" totalsRowCount="1">
  <autoFilter ref="A9:E29"/>
  <tableColumns count="5">
    <tableColumn id="1" name="Role Name"/>
    <tableColumn id="2" name="Low Salary" totalsRowFunction="custom" dataDxfId="219" totalsRowDxfId="218">
      <totalsRowFormula>AVERAGE(Table14[Low Salary])</totalsRowFormula>
    </tableColumn>
    <tableColumn id="5" name="High Salary" totalsRowFunction="custom" dataDxfId="217" totalsRowDxfId="216">
      <totalsRowFormula>AVERAGE(Table14[High Salary])</totalsRowFormula>
    </tableColumn>
    <tableColumn id="3" name="Average Salary" totalsRowFunction="custom" dataDxfId="215" totalsRowDxfId="214">
      <totalsRowFormula>AVERAGE(Table14[Average Salary])</totalsRowFormula>
    </tableColumn>
    <tableColumn id="4" name="Company"/>
  </tableColumns>
  <tableStyleInfo name="TableStyleLight8" showFirstColumn="0" showLastColumn="0" showRowStripes="1" showColumnStripes="0"/>
</table>
</file>

<file path=xl/tables/table12.xml><?xml version="1.0" encoding="utf-8"?>
<table xmlns="http://schemas.openxmlformats.org/spreadsheetml/2006/main" id="3" name="Table3" displayName="Table3" ref="A34:F39" totalsRowShown="0">
  <autoFilter ref="A34:F39"/>
  <tableColumns count="6">
    <tableColumn id="1" name="Environment"/>
    <tableColumn id="2" name="Multiple" dataDxfId="213"/>
    <tableColumn id="3" name="Average Salary" dataDxfId="212">
      <calculatedColumnFormula>SUM(Table14[[#Totals],[Average Salary]]*1.1)</calculatedColumnFormula>
    </tableColumn>
    <tableColumn id="4" name="Expected Internal Costs Over 1 Year" dataDxfId="211">
      <calculatedColumnFormula>SUM(B35*C35)</calculatedColumnFormula>
    </tableColumn>
    <tableColumn id="5" name="Implementation Effort Weeks" dataDxfId="210">
      <calculatedColumnFormula>SUM('Professional Service Estimates'!K19)</calculatedColumnFormula>
    </tableColumn>
    <tableColumn id="6" name="Implementation Cost (Based on Imp Effort)" dataDxfId="209">
      <calculatedColumnFormula>SUM(Table3[[#This Row],[Average Salary]]/40*Table3[[#This Row],[Implementation Effort Weeks]])</calculatedColumnFormula>
    </tableColumn>
  </tableColumns>
  <tableStyleInfo name="TableStyleLight8" showFirstColumn="0" showLastColumn="0" showRowStripes="1" showColumnStripes="0"/>
</table>
</file>

<file path=xl/tables/table13.xml><?xml version="1.0" encoding="utf-8"?>
<table xmlns="http://schemas.openxmlformats.org/spreadsheetml/2006/main" id="14" name="Table20" displayName="Table20" ref="A4:C9" totalsRowShown="0">
  <autoFilter ref="A4:C9"/>
  <tableColumns count="3">
    <tableColumn id="1" name="Requirement"/>
    <tableColumn id="2" name="Specifics"/>
    <tableColumn id="3" name="Application of Cost"/>
  </tableColumns>
  <tableStyleInfo name="TableStyleLight8" showFirstColumn="0" showLastColumn="0" showRowStripes="1" showColumnStripes="0"/>
</table>
</file>

<file path=xl/tables/table14.xml><?xml version="1.0" encoding="utf-8"?>
<table xmlns="http://schemas.openxmlformats.org/spreadsheetml/2006/main" id="19" name="Table2020" displayName="Table2020" ref="A12:C17" totalsRowShown="0">
  <autoFilter ref="A12:C17"/>
  <tableColumns count="3">
    <tableColumn id="1" name="Requirement"/>
    <tableColumn id="2" name="Specifics"/>
    <tableColumn id="3" name="Application of Cost"/>
  </tableColumns>
  <tableStyleInfo name="TableStyleLight8" showFirstColumn="0" showLastColumn="0" showRowStripes="1" showColumnStripes="0"/>
</table>
</file>

<file path=xl/tables/table15.xml><?xml version="1.0" encoding="utf-8"?>
<table xmlns="http://schemas.openxmlformats.org/spreadsheetml/2006/main" id="26" name="Table26" displayName="Table26" ref="A23:C29" totalsRowShown="0">
  <autoFilter ref="A23:C29"/>
  <tableColumns count="3">
    <tableColumn id="1" name="Supplier"/>
    <tableColumn id="2" name="Price" dataDxfId="208"/>
    <tableColumn id="3" name="Notes"/>
  </tableColumns>
  <tableStyleInfo name="TableStyleLight8" showFirstColumn="0" showLastColumn="0" showRowStripes="1" showColumnStripes="0"/>
</table>
</file>

<file path=xl/tables/table16.xml><?xml version="1.0" encoding="utf-8"?>
<table xmlns="http://schemas.openxmlformats.org/spreadsheetml/2006/main" id="27" name="Table27" displayName="Table27" ref="A32:C38" totalsRowShown="0">
  <autoFilter ref="A32:C38"/>
  <tableColumns count="3">
    <tableColumn id="1" name="Supplier"/>
    <tableColumn id="2" name="Price" dataDxfId="207"/>
    <tableColumn id="3" name="Notes"/>
  </tableColumns>
  <tableStyleInfo name="TableStyleLight8" showFirstColumn="0" showLastColumn="0" showRowStripes="1" showColumnStripes="0"/>
</table>
</file>

<file path=xl/tables/table17.xml><?xml version="1.0" encoding="utf-8"?>
<table xmlns="http://schemas.openxmlformats.org/spreadsheetml/2006/main" id="20" name="Table21" displayName="Table21" ref="A7:D13" totalsRowShown="0">
  <autoFilter ref="A7:D13"/>
  <tableColumns count="4">
    <tableColumn id="1" name="Item"/>
    <tableColumn id="2" name="License2" dataDxfId="206"/>
    <tableColumn id="3" name="SA" dataDxfId="205"/>
    <tableColumn id="4" name="w/ Both" dataDxfId="204"/>
  </tableColumns>
  <tableStyleInfo name="TableStyleLight8" showFirstColumn="0" showLastColumn="0" showRowStripes="1" showColumnStripes="0"/>
</table>
</file>

<file path=xl/tables/table18.xml><?xml version="1.0" encoding="utf-8"?>
<table xmlns="http://schemas.openxmlformats.org/spreadsheetml/2006/main" id="21" name="Table2122" displayName="Table2122" ref="A16:D21" totalsRowShown="0">
  <autoFilter ref="A16:D21"/>
  <tableColumns count="4">
    <tableColumn id="1" name="Item"/>
    <tableColumn id="2" name="License2" dataDxfId="203"/>
    <tableColumn id="3" name="SA" dataDxfId="202"/>
    <tableColumn id="4" name="w/ Both" dataDxfId="201"/>
  </tableColumns>
  <tableStyleInfo name="TableStyleLight8" showFirstColumn="0" showLastColumn="0" showRowStripes="1" showColumnStripes="0"/>
</table>
</file>

<file path=xl/tables/table19.xml><?xml version="1.0" encoding="utf-8"?>
<table xmlns="http://schemas.openxmlformats.org/spreadsheetml/2006/main" id="22" name="Table212223" displayName="Table212223" ref="A24:D29" totalsRowShown="0">
  <autoFilter ref="A24:D29"/>
  <tableColumns count="4">
    <tableColumn id="1" name="Item"/>
    <tableColumn id="2" name="License2" dataDxfId="200"/>
    <tableColumn id="3" name="SA" dataDxfId="199"/>
    <tableColumn id="4" name="w/ Both" dataDxfId="198"/>
  </tableColumns>
  <tableStyleInfo name="TableStyleLight8" showFirstColumn="0" showLastColumn="0" showRowStripes="1" showColumnStripes="0"/>
</table>
</file>

<file path=xl/tables/table2.xml><?xml version="1.0" encoding="utf-8"?>
<table xmlns="http://schemas.openxmlformats.org/spreadsheetml/2006/main" id="2" name="Table13" displayName="Table13" ref="A35:H48" totalsRowShown="0">
  <autoFilter ref="A35:H48"/>
  <tableColumns count="8">
    <tableColumn id="1" name="Task"/>
    <tableColumn id="2" name="Low*"/>
    <tableColumn id="3" name="High*"/>
    <tableColumn id="4" name="Rate"/>
    <tableColumn id="5" name="Low Total">
      <calculatedColumnFormula>SUM(B36*D36)</calculatedColumnFormula>
    </tableColumn>
    <tableColumn id="6" name="High Total">
      <calculatedColumnFormula>SUM(C36*D36)</calculatedColumnFormula>
    </tableColumn>
    <tableColumn id="7" name="Company Reference ID"/>
    <tableColumn id="8" name="Hour Average" dataDxfId="224">
      <calculatedColumnFormula>AVERAGE(Table13[[#This Row],[Low*]:[High*]])</calculatedColumnFormula>
    </tableColumn>
  </tableColumns>
  <tableStyleInfo name="TableStyleLight8" showFirstColumn="0" showLastColumn="0" showRowStripes="1" showColumnStripes="0"/>
</table>
</file>

<file path=xl/tables/table20.xml><?xml version="1.0" encoding="utf-8"?>
<table xmlns="http://schemas.openxmlformats.org/spreadsheetml/2006/main" id="23" name="Table212224" displayName="Table212224" ref="A32:D37" totalsRowShown="0">
  <autoFilter ref="A32:D37"/>
  <tableColumns count="4">
    <tableColumn id="1" name="Item"/>
    <tableColumn id="2" name="License2" dataDxfId="197"/>
    <tableColumn id="3" name="SA" dataDxfId="196"/>
    <tableColumn id="4" name="w/ Both" dataDxfId="195"/>
  </tableColumns>
  <tableStyleInfo name="TableStyleLight8" showFirstColumn="0" showLastColumn="0" showRowStripes="1" showColumnStripes="0"/>
</table>
</file>

<file path=xl/tables/table21.xml><?xml version="1.0" encoding="utf-8"?>
<table xmlns="http://schemas.openxmlformats.org/spreadsheetml/2006/main" id="28" name="Table28" displayName="Table28" ref="A2:D17" totalsRowShown="0">
  <autoFilter ref="A2:D17"/>
  <tableColumns count="4">
    <tableColumn id="1" name="SKU"/>
    <tableColumn id="2" name="Previous Cost (Before Early 2012)"/>
    <tableColumn id="3" name="New Cost (2012)" dataCellStyle="Currency"/>
    <tableColumn id="4" name="Reduction" dataCellStyle="Percent"/>
  </tableColumns>
  <tableStyleInfo name="TableStyleLight8" showFirstColumn="0" showLastColumn="0" showRowStripes="1" showColumnStripes="0"/>
</table>
</file>

<file path=xl/tables/table22.xml><?xml version="1.0" encoding="utf-8"?>
<table xmlns="http://schemas.openxmlformats.org/spreadsheetml/2006/main" id="9" name="Table9" displayName="Table9" ref="A5:AG10" totalsRowShown="0">
  <autoFilter ref="A5:AG10"/>
  <tableColumns count="33">
    <tableColumn id="1" name="Environment"/>
    <tableColumn id="2" name="Low" dataDxfId="194"/>
    <tableColumn id="3" name="High" dataDxfId="193"/>
    <tableColumn id="4" name="Average" dataDxfId="192">
      <calculatedColumnFormula>AVERAGE(B6:C6)</calculatedColumnFormula>
    </tableColumn>
    <tableColumn id="5" name="Internal" dataDxfId="191"/>
    <tableColumn id="11" name="Implementation" dataDxfId="190">
      <calculatedColumnFormula>'Internal Salaries'!F35</calculatedColumnFormula>
    </tableColumn>
    <tableColumn id="7" name="PS and Internal" dataDxfId="189">
      <calculatedColumnFormula>SUM(Table9[[#This Row],[Average]:[Internal]])</calculatedColumnFormula>
    </tableColumn>
    <tableColumn id="13" name="Implementation2" dataDxfId="188">
      <calculatedColumnFormula>SUM(Table9[[#This Row],[Average]]+Table9[[#This Row],[Implementation]])</calculatedColumnFormula>
    </tableColumn>
    <tableColumn id="6" name="Base" dataDxfId="187"/>
    <tableColumn id="9" name="AD Int" dataDxfId="186">
      <calculatedColumnFormula>SUM(175*12)</calculatedColumnFormula>
    </tableColumn>
    <tableColumn id="10" name="Initial Month" dataDxfId="185">
      <calculatedColumnFormula>SUM(Table9[[#This Row],[Base]]+175)</calculatedColumnFormula>
    </tableColumn>
    <tableColumn id="8" name="Yearly" dataDxfId="184">
      <calculatedColumnFormula>SUM(Table9[[#This Row],[Base]]*12+Table9[[#This Row],[AD Int]])</calculatedColumnFormula>
    </tableColumn>
    <tableColumn id="14" name="Average Savings Implementation" dataDxfId="183">
      <calculatedColumnFormula>SUM(Table9[[#This Row],[Implementation2]]-Table9[[#This Row],[Initial Month]])</calculatedColumnFormula>
    </tableColumn>
    <tableColumn id="15" name="Average Savings Yr 1" dataDxfId="182">
      <calculatedColumnFormula>SUM(Table9[[#This Row],[Yearly]]-Table9[[#This Row],[PS and Internal]])</calculatedColumnFormula>
    </tableColumn>
    <tableColumn id="16" name="Average Savings Yr 2" dataDxfId="181">
      <calculatedColumnFormula>SUM(Table9[[#This Row],[Yearly]]-Table9[[#This Row],[Internal]])</calculatedColumnFormula>
    </tableColumn>
    <tableColumn id="12" name="Average Savings Implementation w/ L" dataDxfId="180">
      <calculatedColumnFormula>SUM(B22-Table9[[#This Row],[Initial Month]])</calculatedColumnFormula>
    </tableColumn>
    <tableColumn id="17" name="Average Savings Yr 1 w/ L" dataDxfId="179">
      <calculatedColumnFormula>SUM(C22-Table9[[#This Row],[PS and Internal]])</calculatedColumnFormula>
    </tableColumn>
    <tableColumn id="18" name="Average Savings Yr 2 w/ L" dataDxfId="178">
      <calculatedColumnFormula>SUM(Table9[[#This Row],[Yearly]]-Table9[[#This Row],[Internal]])</calculatedColumnFormula>
    </tableColumn>
    <tableColumn id="19" name="Average Savings Implementation w/ H" dataDxfId="177"/>
    <tableColumn id="20" name="Average Savings Yr 1 w/ H" dataDxfId="176"/>
    <tableColumn id="21" name="Average Savings Yr 2 w/ H" dataDxfId="175"/>
    <tableColumn id="22" name="On Prem" dataDxfId="174"/>
    <tableColumn id="23" name="Fully Hosted Cloud" dataDxfId="173"/>
    <tableColumn id="30" name="Apptix" dataDxfId="172">
      <calculatedColumnFormula>SUM(2*Table45[[#This Row],[Yearly]])</calculatedColumnFormula>
    </tableColumn>
    <tableColumn id="24" name="On Prem y1to3" dataDxfId="171"/>
    <tableColumn id="25" name="Fully Hosted Cloud y1to3" dataDxfId="170"/>
    <tableColumn id="31" name="Apptix y1to3" dataDxfId="169">
      <calculatedColumnFormula>SUM(3*Table45[[#This Row],[Yearly]])</calculatedColumnFormula>
    </tableColumn>
    <tableColumn id="26" name="On Prem y1to4" dataDxfId="168"/>
    <tableColumn id="27" name="Fully Hosted Cloud y1to4" dataDxfId="167"/>
    <tableColumn id="32" name="Apptix y1to4" dataDxfId="166">
      <calculatedColumnFormula>SUM(4*Table45[[#This Row],[Yearly]])</calculatedColumnFormula>
    </tableColumn>
    <tableColumn id="28" name="On Prem y1to5" dataDxfId="165"/>
    <tableColumn id="29" name="Fully Hosted Cloud y1to5" dataDxfId="164"/>
    <tableColumn id="33" name="Apptix y1to5" dataDxfId="163">
      <calculatedColumnFormula>SUM(5*Table45[[#This Row],[Yearly]])</calculatedColumnFormula>
    </tableColumn>
  </tableColumns>
  <tableStyleInfo name="TableStyleLight8" showFirstColumn="0" showLastColumn="0" showRowStripes="1" showColumnStripes="0"/>
</table>
</file>

<file path=xl/tables/table23.xml><?xml version="1.0" encoding="utf-8"?>
<table xmlns="http://schemas.openxmlformats.org/spreadsheetml/2006/main" id="15" name="Table18" displayName="Table18" ref="A110:I115" totalsRowShown="0">
  <autoFilter ref="A110:I115"/>
  <tableColumns count="9">
    <tableColumn id="1" name="Environment/Users" dataDxfId="162"/>
    <tableColumn id="2" name="# Users (Low)" dataDxfId="161"/>
    <tableColumn id="3" name="Office 365 (SP Online Plan 2)" dataDxfId="160">
      <calculatedColumnFormula>SUM(Table18[[#This Row],['# Users (Low)]]*10.25)</calculatedColumnFormula>
    </tableColumn>
    <tableColumn id="4" name="On Premises" dataDxfId="159">
      <calculatedColumnFormula>H6</calculatedColumnFormula>
    </tableColumn>
    <tableColumn id="5" name="Fully Hosted Cloud" dataDxfId="158">
      <calculatedColumnFormula>SUM(K6+'MS Licensing'!B$13*Table18[[#This Row],['# Users (Low)]])</calculatedColumnFormula>
    </tableColumn>
    <tableColumn id="6" name="# Users (High)" dataDxfId="157"/>
    <tableColumn id="7" name="Office 365 (SP Online Plan 2) " dataDxfId="156">
      <calculatedColumnFormula>SUM(Table18[[#This Row],['# Users (High)]]*10.25)</calculatedColumnFormula>
    </tableColumn>
    <tableColumn id="8" name="On Premises " dataDxfId="155">
      <calculatedColumnFormula>SUM(H6+'MS Licensing'!$B$13*Table18[[#This Row],['# Users (High)]])</calculatedColumnFormula>
    </tableColumn>
    <tableColumn id="9" name="Fully Hosted Cloud " dataDxfId="154">
      <calculatedColumnFormula>SUM($K6+'MS Licensing'!$B$13*Table18[[#This Row],['# Users (High)]])</calculatedColumnFormula>
    </tableColumn>
  </tableColumns>
  <tableStyleInfo name="TableStyleLight8" showFirstColumn="0" showLastColumn="0" showRowStripes="1" showColumnStripes="0"/>
</table>
</file>

<file path=xl/tables/table24.xml><?xml version="1.0" encoding="utf-8"?>
<table xmlns="http://schemas.openxmlformats.org/spreadsheetml/2006/main" id="16" name="Table1817" displayName="Table1817" ref="A118:I123" totalsRowShown="0">
  <autoFilter ref="A118:I123"/>
  <tableColumns count="9">
    <tableColumn id="1" name="Environment/Users" dataDxfId="153"/>
    <tableColumn id="2" name="# Users (Low)" dataDxfId="152"/>
    <tableColumn id="3" name="Office 365 (SP Online Plan 2)" dataDxfId="151">
      <calculatedColumnFormula>SUM(Table1817[[#This Row],['# Users (Low)]]*10.25*12)</calculatedColumnFormula>
    </tableColumn>
    <tableColumn id="4" name="On Premises" dataDxfId="150">
      <calculatedColumnFormula>SUM(G6+'MS Licensing'!B$13*Table1817[[#This Row],['# Users (Low)]])</calculatedColumnFormula>
    </tableColumn>
    <tableColumn id="5" name="Fully Hosted Cloud" dataDxfId="149">
      <calculatedColumnFormula>SUM(L6+'MS Licensing'!B$13*Table1817[[#This Row],['# Users (Low)]])</calculatedColumnFormula>
    </tableColumn>
    <tableColumn id="6" name="# Users (High)" dataDxfId="148"/>
    <tableColumn id="7" name="Office 365 (SP Online Plan 2) " dataDxfId="147">
      <calculatedColumnFormula>SUM(Table1817[[#This Row],['# Users (High)]]*10.25*12)</calculatedColumnFormula>
    </tableColumn>
    <tableColumn id="8" name="On Premises  " dataDxfId="146">
      <calculatedColumnFormula>SUM(G6+'MS Licensing'!B$13*Table1817[[#This Row],['# Users (High)]])</calculatedColumnFormula>
    </tableColumn>
    <tableColumn id="9" name="Fully Hosted Cloud  " dataDxfId="145">
      <calculatedColumnFormula>SUM(L6+'MS Licensing'!B$13*Table1817[[#This Row],['# Users (High)]])</calculatedColumnFormula>
    </tableColumn>
  </tableColumns>
  <tableStyleInfo name="TableStyleLight8" showFirstColumn="0" showLastColumn="0" showRowStripes="1" showColumnStripes="0"/>
</table>
</file>

<file path=xl/tables/table25.xml><?xml version="1.0" encoding="utf-8"?>
<table xmlns="http://schemas.openxmlformats.org/spreadsheetml/2006/main" id="17" name="Table181718" displayName="Table181718" ref="A126:I131" totalsRowShown="0">
  <autoFilter ref="A126:I131"/>
  <tableColumns count="9">
    <tableColumn id="1" name="Environment/Users" dataDxfId="144"/>
    <tableColumn id="2" name="# Users (Low)" dataDxfId="143"/>
    <tableColumn id="3" name="Office 365 (SP Online Plan 2)" dataDxfId="142">
      <calculatedColumnFormula>SUM(Table181718[[#This Row],['# Users (Low)]]*10.25*12)</calculatedColumnFormula>
    </tableColumn>
    <tableColumn id="4" name="On Premises" dataDxfId="141">
      <calculatedColumnFormula>E6</calculatedColumnFormula>
    </tableColumn>
    <tableColumn id="5" name="Fully Hosted Cloud" dataDxfId="140">
      <calculatedColumnFormula>L6</calculatedColumnFormula>
    </tableColumn>
    <tableColumn id="6" name="# Users (High)" dataDxfId="139"/>
    <tableColumn id="7" name="Office 365 (SP Online Plan 2) " dataDxfId="138">
      <calculatedColumnFormula>SUM(Table181718[[#This Row],['# Users (High)]]*10.25*12)</calculatedColumnFormula>
    </tableColumn>
    <tableColumn id="8" name="On Premises " dataDxfId="137">
      <calculatedColumnFormula>E6</calculatedColumnFormula>
    </tableColumn>
    <tableColumn id="9" name="Fully Hosted Cloud   " dataDxfId="136">
      <calculatedColumnFormula>L6</calculatedColumnFormula>
    </tableColumn>
  </tableColumns>
  <tableStyleInfo name="TableStyleLight8" showFirstColumn="0" showLastColumn="0" showRowStripes="1" showColumnStripes="0"/>
</table>
</file>

<file path=xl/tables/table26.xml><?xml version="1.0" encoding="utf-8"?>
<table xmlns="http://schemas.openxmlformats.org/spreadsheetml/2006/main" id="24" name="Table24" displayName="Table24" ref="A13:D18" totalsRowShown="0" tableBorderDxfId="135">
  <autoFilter ref="A13:D18"/>
  <tableColumns count="4">
    <tableColumn id="1" name="Environment" dataDxfId="134"/>
    <tableColumn id="2" name="Standard" dataDxfId="133"/>
    <tableColumn id="3" name="Enterprise" dataDxfId="132"/>
    <tableColumn id="4" name="w/ Care" dataDxfId="131">
      <calculatedColumnFormula>SUM(1*'Hardware Costs'!$E$24+1*'Hardware Costs'!$E$33)</calculatedColumnFormula>
    </tableColumn>
  </tableColumns>
  <tableStyleInfo name="TableStyleLight8" showFirstColumn="0" showLastColumn="0" showRowStripes="1" showColumnStripes="0"/>
</table>
</file>

<file path=xl/tables/table27.xml><?xml version="1.0" encoding="utf-8"?>
<table xmlns="http://schemas.openxmlformats.org/spreadsheetml/2006/main" id="25" name="Table25" displayName="Table25" ref="A21:E26" totalsRowShown="0" tableBorderDxfId="130">
  <autoFilter ref="A21:E26"/>
  <tableColumns count="5">
    <tableColumn id="1" name="Environment" dataDxfId="129"/>
    <tableColumn id="2" name="Implementation" dataDxfId="128">
      <calculatedColumnFormula>SUM(H6+B14)</calculatedColumnFormula>
    </tableColumn>
    <tableColumn id="3" name="Year" dataDxfId="127">
      <calculatedColumnFormula>SUM(G6+B14)</calculatedColumnFormula>
    </tableColumn>
    <tableColumn id="4" name="Implementation  "/>
    <tableColumn id="5" name="Year   "/>
  </tableColumns>
  <tableStyleInfo name="TableStyleLight8" showFirstColumn="0" showLastColumn="0" showRowStripes="1" showColumnStripes="0"/>
</table>
</file>

<file path=xl/tables/table28.xml><?xml version="1.0" encoding="utf-8"?>
<table xmlns="http://schemas.openxmlformats.org/spreadsheetml/2006/main" id="32" name="Table181733" displayName="Table181733" ref="K118:S123" totalsRowShown="0">
  <autoFilter ref="K118:S123"/>
  <tableColumns count="9">
    <tableColumn id="1" name="Environment/Users" dataDxfId="126"/>
    <tableColumn id="2" name="# Users (Low)" dataDxfId="125"/>
    <tableColumn id="3" name="Office 365 (SP Online Plan 2)" dataDxfId="124">
      <calculatedColumnFormula>SUM(Table181733[[#This Row],['# Users (Low)]]*8*12*3)</calculatedColumnFormula>
    </tableColumn>
    <tableColumn id="4" name="On Premises" dataDxfId="123">
      <calculatedColumnFormula>SUM(Table1817[[#This Row],[On Premises]]+2*D127)</calculatedColumnFormula>
    </tableColumn>
    <tableColumn id="5" name="Fully Hosted Cloud" dataDxfId="122">
      <calculatedColumnFormula>SUM(Table1817[[#This Row],[Fully Hosted Cloud]]+E127*2)</calculatedColumnFormula>
    </tableColumn>
    <tableColumn id="6" name="# Users (High)" dataDxfId="121"/>
    <tableColumn id="7" name="Office 365 (SP Online Plan 2) " dataDxfId="120">
      <calculatedColumnFormula>SUM(Table181733[[#This Row],['# Users (High)]]*8*12*3)</calculatedColumnFormula>
    </tableColumn>
    <tableColumn id="8" name="On Premises " dataDxfId="119">
      <calculatedColumnFormula>SUM(Table1817[[#This Row],[On Premises  ]]+H127*2)</calculatedColumnFormula>
    </tableColumn>
    <tableColumn id="9" name="Fully Hosted Cloud    " dataDxfId="118">
      <calculatedColumnFormula>SUM(Table1817[[#This Row],[Fully Hosted Cloud  ]]+I127*2)</calculatedColumnFormula>
    </tableColumn>
  </tableColumns>
  <tableStyleInfo name="TableStyleLight8" showFirstColumn="0" showLastColumn="0" showRowStripes="1" showColumnStripes="0"/>
</table>
</file>

<file path=xl/tables/table29.xml><?xml version="1.0" encoding="utf-8"?>
<table xmlns="http://schemas.openxmlformats.org/spreadsheetml/2006/main" id="33" name="Table18171834" displayName="Table18171834" ref="K126:S131" totalsRowShown="0">
  <autoFilter ref="K126:S131"/>
  <tableColumns count="9">
    <tableColumn id="1" name="Environment/Users" dataDxfId="117"/>
    <tableColumn id="2" name="# Users (Low)" dataDxfId="116"/>
    <tableColumn id="3" name="Office 365 (SP Online Plan 2)" dataDxfId="115">
      <calculatedColumnFormula>SUM(Table18171834[[#This Row],['# Users (Low)]]*8*12*5)</calculatedColumnFormula>
    </tableColumn>
    <tableColumn id="4" name="On Premises" dataDxfId="114">
      <calculatedColumnFormula>SUM(D119+Table181718[[#This Row],[On Premises]]*4)</calculatedColumnFormula>
    </tableColumn>
    <tableColumn id="5" name="Fully Hosted Cloud" dataDxfId="113">
      <calculatedColumnFormula>SUM(E119+Table181718[[#This Row],[Fully Hosted Cloud]]*4)</calculatedColumnFormula>
    </tableColumn>
    <tableColumn id="6" name="# Users (High)" dataDxfId="112"/>
    <tableColumn id="7" name="Office 365 (SP Online Plan 2) " dataDxfId="111">
      <calculatedColumnFormula>SUM(Table18171834[[#This Row],['# Users (High)]]*8*12*5)</calculatedColumnFormula>
    </tableColumn>
    <tableColumn id="8" name="On Premises " dataDxfId="110">
      <calculatedColumnFormula>SUM(H119+Table181718[[#This Row],[On Premises ]]*4)</calculatedColumnFormula>
    </tableColumn>
    <tableColumn id="9" name="Fully Hosted Cloud   " dataDxfId="109">
      <calculatedColumnFormula>SUM(I119+Table181718[[#This Row],[Fully Hosted Cloud   ]]*4)</calculatedColumnFormula>
    </tableColumn>
  </tableColumns>
  <tableStyleInfo name="TableStyleLight8" showFirstColumn="0" showLastColumn="0" showRowStripes="1" showColumnStripes="0"/>
</table>
</file>

<file path=xl/tables/table3.xml><?xml version="1.0" encoding="utf-8"?>
<table xmlns="http://schemas.openxmlformats.org/spreadsheetml/2006/main" id="4" name="Table15" displayName="Table15" ref="A53:H65" totalsRowShown="0">
  <autoFilter ref="A53:H65"/>
  <tableColumns count="8">
    <tableColumn id="1" name="Task"/>
    <tableColumn id="2" name="Low*"/>
    <tableColumn id="3" name="High*"/>
    <tableColumn id="4" name="Rate"/>
    <tableColumn id="5" name="Low Total">
      <calculatedColumnFormula>SUM(B54*D54)</calculatedColumnFormula>
    </tableColumn>
    <tableColumn id="6" name="High Total">
      <calculatedColumnFormula>SUM(C54*D54)</calculatedColumnFormula>
    </tableColumn>
    <tableColumn id="7" name="Company Reference ID"/>
    <tableColumn id="8" name="Hour Average" dataDxfId="223">
      <calculatedColumnFormula>AVERAGE(Table15[[#This Row],[Low*]:[High*]])</calculatedColumnFormula>
    </tableColumn>
  </tableColumns>
  <tableStyleInfo name="TableStyleLight8" showFirstColumn="0" showLastColumn="0" showRowStripes="1" showColumnStripes="0"/>
</table>
</file>

<file path=xl/tables/table30.xml><?xml version="1.0" encoding="utf-8"?>
<table xmlns="http://schemas.openxmlformats.org/spreadsheetml/2006/main" id="29" name="Table1830" displayName="Table1830" ref="A202:I207" totalsRowShown="0">
  <autoFilter ref="A202:I207"/>
  <tableColumns count="9">
    <tableColumn id="1" name="Environment/Users" dataDxfId="108"/>
    <tableColumn id="2" name="# Users (Low)" dataDxfId="107"/>
    <tableColumn id="3" name="Office 365 (SP Online Plan 2)" dataDxfId="106">
      <calculatedColumnFormula>SUM(Table1830[[#This Row],['# Users (Low)]]*4)</calculatedColumnFormula>
    </tableColumn>
    <tableColumn id="4" name="On Premises" dataDxfId="105">
      <calculatedColumnFormula>SUM(H6+'MS Licensing'!B$11*Table1830[[#This Row],['# Users (Low)]])</calculatedColumnFormula>
    </tableColumn>
    <tableColumn id="5" name="Fully Hosted Cloud" dataDxfId="104">
      <calculatedColumnFormula>SUM(K6+'MS Licensing'!B$11*Table1830[[#This Row],['# Users (Low)]])</calculatedColumnFormula>
    </tableColumn>
    <tableColumn id="6" name="# Users (High)" dataDxfId="103"/>
    <tableColumn id="7" name="Office 365 (SP Online Plan 2) " dataDxfId="102">
      <calculatedColumnFormula>SUM(Table1830[[#This Row],['# Users (High)]]*4)</calculatedColumnFormula>
    </tableColumn>
    <tableColumn id="8" name="On Premises " dataDxfId="101">
      <calculatedColumnFormula>SUM(H6+'MS Licensing'!$B$11*Table1830[[#This Row],['# Users (High)]])</calculatedColumnFormula>
    </tableColumn>
    <tableColumn id="9" name="Fully Hosted Cloud " dataDxfId="100">
      <calculatedColumnFormula>SUM($K6+'MS Licensing'!$B$11*Table1830[[#This Row],['# Users (High)]])</calculatedColumnFormula>
    </tableColumn>
  </tableColumns>
  <tableStyleInfo name="TableStyleLight8" showFirstColumn="0" showLastColumn="0" showRowStripes="1" showColumnStripes="0"/>
</table>
</file>

<file path=xl/tables/table31.xml><?xml version="1.0" encoding="utf-8"?>
<table xmlns="http://schemas.openxmlformats.org/spreadsheetml/2006/main" id="30" name="Table181731" displayName="Table181731" ref="A210:I215" totalsRowShown="0">
  <autoFilter ref="A210:I215"/>
  <tableColumns count="9">
    <tableColumn id="1" name="Environment/Users" dataDxfId="99"/>
    <tableColumn id="2" name="# Users (Low)" dataDxfId="98"/>
    <tableColumn id="3" name="Office 365 (SP Online Plan 2)" dataDxfId="97">
      <calculatedColumnFormula>SUM(Table181731[[#This Row],['# Users (Low)]]*4*12)</calculatedColumnFormula>
    </tableColumn>
    <tableColumn id="4" name="On Premises" dataDxfId="96">
      <calculatedColumnFormula>SUM(G6+'MS Licensing'!B$11*Table181731[[#This Row],['# Users (Low)]])</calculatedColumnFormula>
    </tableColumn>
    <tableColumn id="5" name="Fully Hosted Cloud" dataDxfId="95">
      <calculatedColumnFormula>SUM(L6+'MS Licensing'!B$11*Table181731[[#This Row],['# Users (Low)]])</calculatedColumnFormula>
    </tableColumn>
    <tableColumn id="6" name="# Users (High)" dataDxfId="94"/>
    <tableColumn id="7" name="Office 365 (SP Online Plan 2) " dataDxfId="93">
      <calculatedColumnFormula>SUM(Table181731[[#This Row],['# Users (High)]]*4*12)</calculatedColumnFormula>
    </tableColumn>
    <tableColumn id="8" name="On Premises " dataDxfId="92">
      <calculatedColumnFormula>SUM(G6+'MS Licensing'!B$11*Table181731[[#This Row],['# Users (High)]])</calculatedColumnFormula>
    </tableColumn>
    <tableColumn id="9" name="Fully Hosted Cloud " dataDxfId="91">
      <calculatedColumnFormula>SUM(L6+'MS Licensing'!B$11*Table181731[[#This Row],['# Users (High)]])</calculatedColumnFormula>
    </tableColumn>
  </tableColumns>
  <tableStyleInfo name="TableStyleLight8" showFirstColumn="0" showLastColumn="0" showRowStripes="1" showColumnStripes="0"/>
</table>
</file>

<file path=xl/tables/table32.xml><?xml version="1.0" encoding="utf-8"?>
<table xmlns="http://schemas.openxmlformats.org/spreadsheetml/2006/main" id="31" name="Table18171832" displayName="Table18171832" ref="A218:I223" totalsRowShown="0">
  <autoFilter ref="A218:I223"/>
  <tableColumns count="9">
    <tableColumn id="1" name="Environment/Users" dataDxfId="90"/>
    <tableColumn id="2" name="# Users (Low)" dataDxfId="89"/>
    <tableColumn id="3" name="Office 365 (SP Online Plan 2)" dataDxfId="88">
      <calculatedColumnFormula>SUM(Table18171832[[#This Row],['# Users (Low)]]*4*12)</calculatedColumnFormula>
    </tableColumn>
    <tableColumn id="4" name="On Premises" dataDxfId="87">
      <calculatedColumnFormula>E6</calculatedColumnFormula>
    </tableColumn>
    <tableColumn id="5" name="Fully Hosted Cloud" dataDxfId="86">
      <calculatedColumnFormula>L6</calculatedColumnFormula>
    </tableColumn>
    <tableColumn id="6" name="# Users (High)" dataDxfId="85"/>
    <tableColumn id="7" name="Office 365 (SP Online Plan 2) " dataDxfId="84">
      <calculatedColumnFormula>SUM(Table18171832[[#This Row],['# Users (High)]]*4*12)</calculatedColumnFormula>
    </tableColumn>
    <tableColumn id="8" name="On Premises " dataDxfId="83">
      <calculatedColumnFormula>E6</calculatedColumnFormula>
    </tableColumn>
    <tableColumn id="9" name="Fully Hosted Cloud " dataDxfId="82">
      <calculatedColumnFormula>L6</calculatedColumnFormula>
    </tableColumn>
  </tableColumns>
  <tableStyleInfo name="TableStyleLight8" showFirstColumn="0" showLastColumn="0" showRowStripes="1" showColumnStripes="0"/>
</table>
</file>

<file path=xl/tables/table33.xml><?xml version="1.0" encoding="utf-8"?>
<table xmlns="http://schemas.openxmlformats.org/spreadsheetml/2006/main" id="34" name="Table34" displayName="Table34" ref="K210:O215" totalsRowShown="0" tableBorderDxfId="81">
  <autoFilter ref="K210:O215"/>
  <tableColumns count="5">
    <tableColumn id="1" name="Environment/Users" dataDxfId="80"/>
    <tableColumn id="2" name="# Users (Low)" dataDxfId="79"/>
    <tableColumn id="3" name="Office 365 (SP Online Plan 2)" dataDxfId="78">
      <calculatedColumnFormula>SUM(Table34[[#This Row],['# Users (Low)]]*4*12*3)</calculatedColumnFormula>
    </tableColumn>
    <tableColumn id="4" name="On Premises" dataDxfId="77">
      <calculatedColumnFormula>SUM(Table181731[[#This Row],[On Premises]]+2*D219)</calculatedColumnFormula>
    </tableColumn>
    <tableColumn id="5" name="Fully Hosted Cloud" dataDxfId="76">
      <calculatedColumnFormula>SUM(Table181731[[#This Row],[Fully Hosted Cloud]]+E219*2)</calculatedColumnFormula>
    </tableColumn>
  </tableColumns>
  <tableStyleInfo name="TableStyleLight8" showFirstColumn="0" showLastColumn="0" showRowStripes="1" showColumnStripes="0"/>
</table>
</file>

<file path=xl/tables/table34.xml><?xml version="1.0" encoding="utf-8"?>
<table xmlns="http://schemas.openxmlformats.org/spreadsheetml/2006/main" id="35" name="Table35" displayName="Table35" ref="P210:R215" totalsRowShown="0" tableBorderDxfId="75">
  <autoFilter ref="P210:R215"/>
  <tableColumns count="3">
    <tableColumn id="1" name="# Users (High)" dataDxfId="74"/>
    <tableColumn id="2" name="Office 365 (SP Online Plan 2) " dataDxfId="73">
      <calculatedColumnFormula>SUM(Table35[[#This Row],['# Users (High)]]*4*12*3)</calculatedColumnFormula>
    </tableColumn>
    <tableColumn id="3" name="On Premises " dataDxfId="72">
      <calculatedColumnFormula>SUM(Table181731[[#This Row],[On Premises ]]+H219*2)</calculatedColumnFormula>
    </tableColumn>
  </tableColumns>
  <tableStyleInfo name="TableStyleLight8" showFirstColumn="0" showLastColumn="0" showRowStripes="1" showColumnStripes="0"/>
</table>
</file>

<file path=xl/tables/table35.xml><?xml version="1.0" encoding="utf-8"?>
<table xmlns="http://schemas.openxmlformats.org/spreadsheetml/2006/main" id="36" name="Table36" displayName="Table36" ref="K218:O223" totalsRowShown="0" tableBorderDxfId="71">
  <autoFilter ref="K218:O223"/>
  <tableColumns count="5">
    <tableColumn id="1" name="Environment/Users" dataDxfId="70"/>
    <tableColumn id="2" name="# Users (Low)" dataDxfId="69"/>
    <tableColumn id="3" name="Office 365 (SP Online Plan 2)" dataDxfId="68">
      <calculatedColumnFormula>SUM(Table36[[#This Row],['# Users (Low)]]*4*12*5)</calculatedColumnFormula>
    </tableColumn>
    <tableColumn id="4" name="On Premises" dataDxfId="67">
      <calculatedColumnFormula>SUM(D211+Table18171832[[#This Row],[On Premises]]*4)</calculatedColumnFormula>
    </tableColumn>
    <tableColumn id="5" name="Fully Hosted Cloud" dataDxfId="66">
      <calculatedColumnFormula>SUM(E211+Table18171832[[#This Row],[Fully Hosted Cloud]]*4)</calculatedColumnFormula>
    </tableColumn>
  </tableColumns>
  <tableStyleInfo name="TableStyleLight8" showFirstColumn="0" showLastColumn="0" showRowStripes="1" showColumnStripes="0"/>
</table>
</file>

<file path=xl/tables/table36.xml><?xml version="1.0" encoding="utf-8"?>
<table xmlns="http://schemas.openxmlformats.org/spreadsheetml/2006/main" id="37" name="Table37" displayName="Table37" ref="P218:R223" totalsRowShown="0" tableBorderDxfId="65">
  <autoFilter ref="P218:R223"/>
  <tableColumns count="3">
    <tableColumn id="1" name="# Users (High)" dataDxfId="64"/>
    <tableColumn id="2" name="Office 365 (SP Online Plan 2) " dataDxfId="63">
      <calculatedColumnFormula>SUM(Table37[[#This Row],['# Users (High)]]*4*12*5)</calculatedColumnFormula>
    </tableColumn>
    <tableColumn id="3" name="On Premises " dataDxfId="62">
      <calculatedColumnFormula>SUM(H211+Table18171832[[#This Row],[On Premises ]]*4)</calculatedColumnFormula>
    </tableColumn>
  </tableColumns>
  <tableStyleInfo name="TableStyleLight8" showFirstColumn="0" showLastColumn="0" showRowStripes="1" showColumnStripes="0"/>
</table>
</file>

<file path=xl/tables/table37.xml><?xml version="1.0" encoding="utf-8"?>
<table xmlns="http://schemas.openxmlformats.org/spreadsheetml/2006/main" id="38" name="Table1839" displayName="Table1839" ref="A294:I299" totalsRowShown="0">
  <autoFilter ref="A294:I299"/>
  <tableColumns count="9">
    <tableColumn id="1" name="Environment/Users" dataDxfId="61"/>
    <tableColumn id="2" name="# Users (Low)" dataDxfId="60"/>
    <tableColumn id="3" name="Office 365 (SP Online Plan 2)" dataDxfId="59">
      <calculatedColumnFormula>SUM(Table1839[[#This Row],['# Users (Low)]]*8)</calculatedColumnFormula>
    </tableColumn>
    <tableColumn id="4" name="On Premises" dataDxfId="58">
      <calculatedColumnFormula>SUM(H6+'MS Licensing'!D$13*Table1839[[#This Row],['# Users (Low)]])</calculatedColumnFormula>
    </tableColumn>
    <tableColumn id="5" name="Fully Hosted Cloud" dataDxfId="57">
      <calculatedColumnFormula>SUM(K6+'MS Licensing'!D$13*Table1839[[#This Row],['# Users (Low)]])</calculatedColumnFormula>
    </tableColumn>
    <tableColumn id="6" name="# Users (High)" dataDxfId="56"/>
    <tableColumn id="7" name="Office 365 (SP Online Plan 2) " dataDxfId="55">
      <calculatedColumnFormula>SUM(Table1839[[#This Row],['# Users (High)]]*8)</calculatedColumnFormula>
    </tableColumn>
    <tableColumn id="8" name="On Premises " dataDxfId="54">
      <calculatedColumnFormula>SUM(H6+'MS Licensing'!$D$13*Table1839[[#This Row],['# Users (High)]])</calculatedColumnFormula>
    </tableColumn>
    <tableColumn id="9" name="Fully Hosted Cloud " dataDxfId="53">
      <calculatedColumnFormula>SUM($K6+'MS Licensing'!$D$13*Table1839[[#This Row],['# Users (High)]])</calculatedColumnFormula>
    </tableColumn>
  </tableColumns>
  <tableStyleInfo name="TableStyleLight8" showFirstColumn="0" showLastColumn="0" showRowStripes="1" showColumnStripes="0"/>
</table>
</file>

<file path=xl/tables/table38.xml><?xml version="1.0" encoding="utf-8"?>
<table xmlns="http://schemas.openxmlformats.org/spreadsheetml/2006/main" id="39" name="Table181740" displayName="Table181740" ref="A302:I307" totalsRowShown="0">
  <autoFilter ref="A302:I307"/>
  <tableColumns count="9">
    <tableColumn id="1" name="Environment/Users" dataDxfId="52"/>
    <tableColumn id="2" name="# Users (Low)" dataDxfId="51"/>
    <tableColumn id="3" name="Office 365 (SP Online Plan 2)" dataDxfId="50">
      <calculatedColumnFormula>SUM(Table181740[[#This Row],['# Users (Low)]]*8*12)</calculatedColumnFormula>
    </tableColumn>
    <tableColumn id="4" name="On Premises" dataDxfId="49">
      <calculatedColumnFormula>SUM(G6+'MS Licensing'!D$13*Table181740[[#This Row],['# Users (Low)]])</calculatedColumnFormula>
    </tableColumn>
    <tableColumn id="5" name="Fully Hosted Cloud" dataDxfId="48">
      <calculatedColumnFormula>SUM(L6+'MS Licensing'!D$13*Table181740[[#This Row],['# Users (Low)]])</calculatedColumnFormula>
    </tableColumn>
    <tableColumn id="6" name="# Users (High)" dataDxfId="47"/>
    <tableColumn id="7" name="Office 365 (SP Online Plan 2) " dataDxfId="46">
      <calculatedColumnFormula>SUM(Table181740[[#This Row],['# Users (High)]]*8*12)</calculatedColumnFormula>
    </tableColumn>
    <tableColumn id="8" name="On Premises  " dataDxfId="45">
      <calculatedColumnFormula>SUM(G6+'MS Licensing'!D$13*Table181740[[#This Row],['# Users (High)]])</calculatedColumnFormula>
    </tableColumn>
    <tableColumn id="9" name="Fully Hosted Cloud  " dataDxfId="44">
      <calculatedColumnFormula>SUM(L6+'MS Licensing'!D$13*Table181740[[#This Row],['# Users (High)]])</calculatedColumnFormula>
    </tableColumn>
  </tableColumns>
  <tableStyleInfo name="TableStyleLight8" showFirstColumn="0" showLastColumn="0" showRowStripes="1" showColumnStripes="0"/>
</table>
</file>

<file path=xl/tables/table39.xml><?xml version="1.0" encoding="utf-8"?>
<table xmlns="http://schemas.openxmlformats.org/spreadsheetml/2006/main" id="40" name="Table18171841" displayName="Table18171841" ref="A310:I315" totalsRowShown="0">
  <autoFilter ref="A310:I315"/>
  <tableColumns count="9">
    <tableColumn id="1" name="Environment/Users" dataDxfId="43"/>
    <tableColumn id="2" name="# Users (Low)" dataDxfId="42"/>
    <tableColumn id="3" name="Office 365 (SP Online Plan 2)" dataDxfId="41">
      <calculatedColumnFormula>SUM(Table18171841[[#This Row],['# Users (Low)]]*8*12)</calculatedColumnFormula>
    </tableColumn>
    <tableColumn id="4" name="On Premises" dataDxfId="40">
      <calculatedColumnFormula>E6</calculatedColumnFormula>
    </tableColumn>
    <tableColumn id="5" name="Fully Hosted Cloud" dataDxfId="39">
      <calculatedColumnFormula>L6</calculatedColumnFormula>
    </tableColumn>
    <tableColumn id="6" name="# Users (High)" dataDxfId="38"/>
    <tableColumn id="7" name="Office 365 (SP Online Plan 2) " dataDxfId="37">
      <calculatedColumnFormula>SUM(Table18171841[[#This Row],['# Users (High)]]*8*12)</calculatedColumnFormula>
    </tableColumn>
    <tableColumn id="8" name="On Premises " dataDxfId="36">
      <calculatedColumnFormula>E6</calculatedColumnFormula>
    </tableColumn>
    <tableColumn id="9" name="Fully Hosted Cloud   " dataDxfId="35">
      <calculatedColumnFormula>L6</calculatedColumnFormula>
    </tableColumn>
  </tableColumns>
  <tableStyleInfo name="TableStyleLight8" showFirstColumn="0" showLastColumn="0" showRowStripes="1" showColumnStripes="0"/>
</table>
</file>

<file path=xl/tables/table4.xml><?xml version="1.0" encoding="utf-8"?>
<table xmlns="http://schemas.openxmlformats.org/spreadsheetml/2006/main" id="5" name="Table16" displayName="Table16" ref="A70:H83" totalsRowShown="0">
  <autoFilter ref="A70:H83"/>
  <tableColumns count="8">
    <tableColumn id="1" name="Task"/>
    <tableColumn id="2" name="Low*"/>
    <tableColumn id="3" name="High*"/>
    <tableColumn id="4" name="Rate"/>
    <tableColumn id="5" name="Low Total">
      <calculatedColumnFormula>SUM(B71*D71)</calculatedColumnFormula>
    </tableColumn>
    <tableColumn id="6" name="High Total">
      <calculatedColumnFormula>SUM(C71*D71)</calculatedColumnFormula>
    </tableColumn>
    <tableColumn id="7" name="Company Reference ID"/>
    <tableColumn id="8" name="Hour Average" dataDxfId="222">
      <calculatedColumnFormula>AVERAGE(Table16[[#This Row],[Low*]:[High*]])</calculatedColumnFormula>
    </tableColumn>
  </tableColumns>
  <tableStyleInfo name="TableStyleLight8" showFirstColumn="0" showLastColumn="0" showRowStripes="1" showColumnStripes="0"/>
</table>
</file>

<file path=xl/tables/table40.xml><?xml version="1.0" encoding="utf-8"?>
<table xmlns="http://schemas.openxmlformats.org/spreadsheetml/2006/main" id="41" name="Table18173342" displayName="Table18173342" ref="K302:S307" totalsRowShown="0">
  <autoFilter ref="K302:S307"/>
  <tableColumns count="9">
    <tableColumn id="1" name="Environment/Users" dataDxfId="34"/>
    <tableColumn id="2" name="# Users (Low)" dataDxfId="33"/>
    <tableColumn id="3" name="Office 365 (SP Online Plan 2)" dataDxfId="32">
      <calculatedColumnFormula>SUM(Table18173342[[#This Row],['# Users (Low)]]*8*12*3)</calculatedColumnFormula>
    </tableColumn>
    <tableColumn id="4" name="On Premises" dataDxfId="31">
      <calculatedColumnFormula>SUM(Table181740[[#This Row],[On Premises]]+2*D311)</calculatedColumnFormula>
    </tableColumn>
    <tableColumn id="5" name="Fully Hosted Cloud" dataDxfId="30">
      <calculatedColumnFormula>SUM(Table181740[[#This Row],[Fully Hosted Cloud]]+E311*2)</calculatedColumnFormula>
    </tableColumn>
    <tableColumn id="6" name="# Users (High)" dataDxfId="29"/>
    <tableColumn id="7" name="Office 365 (SP Online Plan 2) " dataDxfId="28">
      <calculatedColumnFormula>SUM(Table18173342[[#This Row],['# Users (High)]]*8*12*3)</calculatedColumnFormula>
    </tableColumn>
    <tableColumn id="8" name="On Premises " dataDxfId="27">
      <calculatedColumnFormula>SUM(Table181740[[#This Row],[On Premises  ]]+H311*2)</calculatedColumnFormula>
    </tableColumn>
    <tableColumn id="9" name="Fully Hosted Cloud    " dataDxfId="26">
      <calculatedColumnFormula>SUM(Table181740[[#This Row],[Fully Hosted Cloud  ]]+I311*2)</calculatedColumnFormula>
    </tableColumn>
  </tableColumns>
  <tableStyleInfo name="TableStyleLight8" showFirstColumn="0" showLastColumn="0" showRowStripes="1" showColumnStripes="0"/>
</table>
</file>

<file path=xl/tables/table41.xml><?xml version="1.0" encoding="utf-8"?>
<table xmlns="http://schemas.openxmlformats.org/spreadsheetml/2006/main" id="42" name="Table1817183443" displayName="Table1817183443" ref="K310:S315" totalsRowShown="0">
  <autoFilter ref="K310:S315"/>
  <tableColumns count="9">
    <tableColumn id="1" name="Environment/Users" dataDxfId="25"/>
    <tableColumn id="2" name="# Users (Low)" dataDxfId="24"/>
    <tableColumn id="3" name="Office 365 (SP Online Plan 2)" dataDxfId="23">
      <calculatedColumnFormula>SUM(Table1817183443[[#This Row],['# Users (Low)]]*8*12*5)</calculatedColumnFormula>
    </tableColumn>
    <tableColumn id="4" name="On Premises" dataDxfId="22">
      <calculatedColumnFormula>SUM(D303+Table18171841[[#This Row],[On Premises]]*4)</calculatedColumnFormula>
    </tableColumn>
    <tableColumn id="5" name="Fully Hosted Cloud" dataDxfId="21">
      <calculatedColumnFormula>SUM(E303+Table18171841[[#This Row],[Fully Hosted Cloud]]*4)</calculatedColumnFormula>
    </tableColumn>
    <tableColumn id="6" name="# Users (High)" dataDxfId="20"/>
    <tableColumn id="7" name="Office 365 (SP Online Plan 2) " dataDxfId="19">
      <calculatedColumnFormula>SUM(Table1817183443[[#This Row],['# Users (High)]]*8*12*5)</calculatedColumnFormula>
    </tableColumn>
    <tableColumn id="8" name="On Premises " dataDxfId="18">
      <calculatedColumnFormula>SUM(H303+Table18171841[[#This Row],[On Premises ]]*4)</calculatedColumnFormula>
    </tableColumn>
    <tableColumn id="9" name="Fully Hosted Cloud   " dataDxfId="17">
      <calculatedColumnFormula>SUM(I303+Table18171841[[#This Row],[Fully Hosted Cloud   ]]*4)</calculatedColumnFormula>
    </tableColumn>
  </tableColumns>
  <tableStyleInfo name="TableStyleLight8" showFirstColumn="0" showLastColumn="0" showRowStripes="1" showColumnStripes="0"/>
</table>
</file>

<file path=xl/tables/table42.xml><?xml version="1.0" encoding="utf-8"?>
<table xmlns="http://schemas.openxmlformats.org/spreadsheetml/2006/main" id="43" name="Table43" displayName="Table43" ref="C385:F390" totalsRowShown="0">
  <autoFilter ref="C385:F390"/>
  <tableColumns count="4">
    <tableColumn id="1" name="Associated Year"/>
    <tableColumn id="2" name="Office 365"/>
    <tableColumn id="3" name="On Prem"/>
    <tableColumn id="4" name="Fully Hosted Cloud"/>
  </tableColumns>
  <tableStyleInfo name="TableStyleLight8" showFirstColumn="0" showLastColumn="0" showRowStripes="1" showColumnStripes="0"/>
</table>
</file>

<file path=xl/tables/table43.xml><?xml version="1.0" encoding="utf-8"?>
<table xmlns="http://schemas.openxmlformats.org/spreadsheetml/2006/main" id="44" name="Table44" displayName="Table44" ref="G385:J390" totalsRowShown="0">
  <autoFilter ref="G385:J390"/>
  <tableColumns count="4">
    <tableColumn id="1" name="Associated Year" dataDxfId="16"/>
    <tableColumn id="2" name="Office 365"/>
    <tableColumn id="3" name="On Prem"/>
    <tableColumn id="4" name="Fully Hosted Cloud"/>
  </tableColumns>
  <tableStyleInfo name="TableStyleLight8" showFirstColumn="0" showLastColumn="0" showRowStripes="1" showColumnStripes="0"/>
</table>
</file>

<file path=xl/tables/table44.xml><?xml version="1.0" encoding="utf-8"?>
<table xmlns="http://schemas.openxmlformats.org/spreadsheetml/2006/main" id="45" name="Table45" displayName="Table45" ref="AH5:AJ10" totalsRowShown="0" dataDxfId="15" tableBorderDxfId="14">
  <autoFilter ref="AH5:AJ10"/>
  <tableColumns count="3">
    <tableColumn id="1" name="Base" dataDxfId="13">
      <calculatedColumnFormula>SUM(Apptix!B3+150)</calculatedColumnFormula>
    </tableColumn>
    <tableColumn id="2" name="Initial Month" dataDxfId="12"/>
    <tableColumn id="3" name="Yearly" dataDxfId="11"/>
  </tableColumns>
  <tableStyleInfo name="TableStyleLight8" showFirstColumn="0" showLastColumn="0" showRowStripes="1" showColumnStripes="0"/>
</table>
</file>

<file path=xl/tables/table45.xml><?xml version="1.0" encoding="utf-8"?>
<table xmlns="http://schemas.openxmlformats.org/spreadsheetml/2006/main" id="46" name="Table46" displayName="Table46" ref="AK5:AS10" totalsRowShown="0" headerRowDxfId="10" dataDxfId="9">
  <autoFilter ref="AK5:AS10"/>
  <tableColumns count="9">
    <tableColumn id="1" name="Average Savings Implementation" dataDxfId="8">
      <calculatedColumnFormula>SUM(Table9[[#This Row],[Implementation2]]-Table45[[#This Row],[Initial Month]])</calculatedColumnFormula>
    </tableColumn>
    <tableColumn id="2" name="Average Savings Yr 1" dataDxfId="7">
      <calculatedColumnFormula>SUM(Table45[[#This Row],[Yearly]]-Table9[[#This Row],[PS and Internal]])</calculatedColumnFormula>
    </tableColumn>
    <tableColumn id="3" name="Average Savings Yr 2" dataDxfId="6">
      <calculatedColumnFormula>SUM(Table45[[#This Row],[Yearly]]-Table9[[#This Row],[Internal]])</calculatedColumnFormula>
    </tableColumn>
    <tableColumn id="4" name="Average Savings Implementation w/ L" dataDxfId="5">
      <calculatedColumnFormula>SUM(B22-Table45[[#This Row],[Initial Month]])</calculatedColumnFormula>
    </tableColumn>
    <tableColumn id="5" name="Average Savings Yr 1 w/ L" dataDxfId="4">
      <calculatedColumnFormula>SUM(C22-Table9[[#This Row],[PS and Internal]])</calculatedColumnFormula>
    </tableColumn>
    <tableColumn id="6" name="Average Savings Yr 2 w/ L" dataDxfId="3">
      <calculatedColumnFormula>SUM(Table45[[#This Row],[Yearly]]-Table9[[#This Row],[Internal]])</calculatedColumnFormula>
    </tableColumn>
    <tableColumn id="7" name="Average Savings Implementation w/ H" dataDxfId="2">
      <calculatedColumnFormula>SUM(B22-Table45[[#This Row],[Initial Month]])</calculatedColumnFormula>
    </tableColumn>
    <tableColumn id="8" name="Average Savings Yr 1 w/ H" dataDxfId="1">
      <calculatedColumnFormula>SUM(C22-Table9[[#This Row],[PS and Internal]])</calculatedColumnFormula>
    </tableColumn>
    <tableColumn id="9" name="Average Savings Yr 2 w/ H" dataDxfId="0">
      <calculatedColumnFormula>SUM(Table45[[#This Row],[Yearly]]-Table9[[#This Row],[Internal]])</calculatedColumnFormula>
    </tableColumn>
  </tableColumns>
  <tableStyleInfo name="TableStyleLight8" showFirstColumn="0" showLastColumn="0" showRowStripes="1" showColumnStripes="0"/>
</table>
</file>

<file path=xl/tables/table46.xml><?xml version="1.0" encoding="utf-8"?>
<table xmlns="http://schemas.openxmlformats.org/spreadsheetml/2006/main" id="18" name="Table19" displayName="Table19" ref="A4:E30" totalsRowShown="0">
  <autoFilter ref="A4:E30"/>
  <tableColumns count="5">
    <tableColumn id="1" name="Factor"/>
    <tableColumn id="2" name="Office365"/>
    <tableColumn id="3" name="FPWeb"/>
    <tableColumn id="4" name="On-Premise"/>
    <tableColumn id="5" name="Description of Factor"/>
  </tableColumns>
  <tableStyleInfo name="TableStyleLight8" showFirstColumn="0" showLastColumn="0" showRowStripes="1" showColumnStripes="0"/>
</table>
</file>

<file path=xl/tables/table5.xml><?xml version="1.0" encoding="utf-8"?>
<table xmlns="http://schemas.openxmlformats.org/spreadsheetml/2006/main" id="6" name="Table17" displayName="Table17" ref="A88:H100" totalsRowShown="0">
  <autoFilter ref="A88:H100"/>
  <tableColumns count="8">
    <tableColumn id="1" name="Task"/>
    <tableColumn id="2" name="Low*"/>
    <tableColumn id="3" name="High*"/>
    <tableColumn id="4" name="Rate"/>
    <tableColumn id="5" name="Low Total">
      <calculatedColumnFormula>SUM(B89*D89)</calculatedColumnFormula>
    </tableColumn>
    <tableColumn id="6" name="High Total">
      <calculatedColumnFormula>SUM(C89*D89)</calculatedColumnFormula>
    </tableColumn>
    <tableColumn id="7" name="Company Reference ID"/>
    <tableColumn id="8" name="Hour Average" dataDxfId="221">
      <calculatedColumnFormula>AVERAGE(Table17[[#This Row],[Low*]:[High*]])</calculatedColumnFormula>
    </tableColumn>
  </tableColumns>
  <tableStyleInfo name="TableStyleLight8" showFirstColumn="0" showLastColumn="0" showRowStripes="1" showColumnStripes="0"/>
</table>
</file>

<file path=xl/tables/table6.xml><?xml version="1.0" encoding="utf-8"?>
<table xmlns="http://schemas.openxmlformats.org/spreadsheetml/2006/main" id="7" name="Table178" displayName="Table178" ref="A104:H108" totalsRowShown="0">
  <autoFilter ref="A104:H108"/>
  <tableColumns count="8">
    <tableColumn id="1" name="Task"/>
    <tableColumn id="2" name="Low*"/>
    <tableColumn id="3" name="High*"/>
    <tableColumn id="4" name="Rate"/>
    <tableColumn id="5" name="Low Total">
      <calculatedColumnFormula>SUM(B105*D105)</calculatedColumnFormula>
    </tableColumn>
    <tableColumn id="6" name="High Total">
      <calculatedColumnFormula>SUM(C105*D105)</calculatedColumnFormula>
    </tableColumn>
    <tableColumn id="7" name="Company Reference ID"/>
    <tableColumn id="8" name="Column1"/>
  </tableColumns>
  <tableStyleInfo name="TableStyleLight8" showFirstColumn="0" showLastColumn="0" showRowStripes="1" showColumnStripes="0"/>
</table>
</file>

<file path=xl/tables/table7.xml><?xml version="1.0" encoding="utf-8"?>
<table xmlns="http://schemas.openxmlformats.org/spreadsheetml/2006/main" id="8" name="Table1789" displayName="Table1789" ref="A112:H118" totalsRowShown="0">
  <autoFilter ref="A112:H118"/>
  <tableColumns count="8">
    <tableColumn id="1" name="Task"/>
    <tableColumn id="2" name="Low*"/>
    <tableColumn id="3" name="High*"/>
    <tableColumn id="4" name="Rate"/>
    <tableColumn id="5" name="Low Total">
      <calculatedColumnFormula>SUM(B113*D113)</calculatedColumnFormula>
    </tableColumn>
    <tableColumn id="6" name="High Total">
      <calculatedColumnFormula>SUM(C113*D113)</calculatedColumnFormula>
    </tableColumn>
    <tableColumn id="7" name="Company Reference ID"/>
    <tableColumn id="8" name="Column1"/>
  </tableColumns>
  <tableStyleInfo name="TableStyleLight8" showFirstColumn="0" showLastColumn="0" showRowStripes="1" showColumnStripes="0"/>
</table>
</file>

<file path=xl/tables/table8.xml><?xml version="1.0" encoding="utf-8"?>
<table xmlns="http://schemas.openxmlformats.org/spreadsheetml/2006/main" id="10" name="Table17891011" displayName="Table17891011" ref="A121:H125" totalsRowShown="0">
  <autoFilter ref="A121:H125"/>
  <tableColumns count="8">
    <tableColumn id="1" name="Task"/>
    <tableColumn id="2" name="Low*"/>
    <tableColumn id="3" name="High*"/>
    <tableColumn id="4" name="Rate"/>
    <tableColumn id="5" name="Low Total">
      <calculatedColumnFormula>SUM(B122*D122)</calculatedColumnFormula>
    </tableColumn>
    <tableColumn id="6" name="High Total">
      <calculatedColumnFormula>SUM(C122*D122)</calculatedColumnFormula>
    </tableColumn>
    <tableColumn id="7" name="Company Reference ID"/>
    <tableColumn id="8" name="Column1"/>
  </tableColumns>
  <tableStyleInfo name="TableStyleLight8" showFirstColumn="0" showLastColumn="0" showRowStripes="1" showColumnStripes="0"/>
</table>
</file>

<file path=xl/tables/table9.xml><?xml version="1.0" encoding="utf-8"?>
<table xmlns="http://schemas.openxmlformats.org/spreadsheetml/2006/main" id="11" name="Table1789101112" displayName="Table1789101112" ref="A129:H132" totalsRowShown="0">
  <autoFilter ref="A129:H132"/>
  <tableColumns count="8">
    <tableColumn id="1" name="Task"/>
    <tableColumn id="2" name="Low*"/>
    <tableColumn id="3" name="High*"/>
    <tableColumn id="4" name="Rate"/>
    <tableColumn id="5" name="Low Total">
      <calculatedColumnFormula>SUM(B130*D130)</calculatedColumnFormula>
    </tableColumn>
    <tableColumn id="6" name="High Total">
      <calculatedColumnFormula>SUM(C130*D130)</calculatedColumnFormula>
    </tableColumn>
    <tableColumn id="7" name="Company Reference ID"/>
    <tableColumn id="8" name="Column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10.xml.rels><?xml version="1.0" encoding="UTF-8" standalone="yes"?>
<Relationships xmlns="http://schemas.openxmlformats.org/package/2006/relationships"><Relationship Id="rId8" Type="http://schemas.openxmlformats.org/officeDocument/2006/relationships/table" Target="../tables/table27.xml"/><Relationship Id="rId13" Type="http://schemas.openxmlformats.org/officeDocument/2006/relationships/table" Target="../tables/table32.xml"/><Relationship Id="rId18" Type="http://schemas.openxmlformats.org/officeDocument/2006/relationships/table" Target="../tables/table37.xml"/><Relationship Id="rId26" Type="http://schemas.openxmlformats.org/officeDocument/2006/relationships/table" Target="../tables/table45.xml"/><Relationship Id="rId3" Type="http://schemas.openxmlformats.org/officeDocument/2006/relationships/table" Target="../tables/table22.xml"/><Relationship Id="rId21" Type="http://schemas.openxmlformats.org/officeDocument/2006/relationships/table" Target="../tables/table40.xml"/><Relationship Id="rId7" Type="http://schemas.openxmlformats.org/officeDocument/2006/relationships/table" Target="../tables/table26.xml"/><Relationship Id="rId12" Type="http://schemas.openxmlformats.org/officeDocument/2006/relationships/table" Target="../tables/table31.xml"/><Relationship Id="rId17" Type="http://schemas.openxmlformats.org/officeDocument/2006/relationships/table" Target="../tables/table36.xml"/><Relationship Id="rId25" Type="http://schemas.openxmlformats.org/officeDocument/2006/relationships/table" Target="../tables/table44.xml"/><Relationship Id="rId2" Type="http://schemas.openxmlformats.org/officeDocument/2006/relationships/drawing" Target="../drawings/drawing5.xml"/><Relationship Id="rId16" Type="http://schemas.openxmlformats.org/officeDocument/2006/relationships/table" Target="../tables/table35.xml"/><Relationship Id="rId20" Type="http://schemas.openxmlformats.org/officeDocument/2006/relationships/table" Target="../tables/table39.xml"/><Relationship Id="rId1" Type="http://schemas.openxmlformats.org/officeDocument/2006/relationships/printerSettings" Target="../printerSettings/printerSettings7.bin"/><Relationship Id="rId6" Type="http://schemas.openxmlformats.org/officeDocument/2006/relationships/table" Target="../tables/table25.xml"/><Relationship Id="rId11" Type="http://schemas.openxmlformats.org/officeDocument/2006/relationships/table" Target="../tables/table30.xml"/><Relationship Id="rId24" Type="http://schemas.openxmlformats.org/officeDocument/2006/relationships/table" Target="../tables/table43.xml"/><Relationship Id="rId5" Type="http://schemas.openxmlformats.org/officeDocument/2006/relationships/table" Target="../tables/table24.xml"/><Relationship Id="rId15" Type="http://schemas.openxmlformats.org/officeDocument/2006/relationships/table" Target="../tables/table34.xml"/><Relationship Id="rId23" Type="http://schemas.openxmlformats.org/officeDocument/2006/relationships/table" Target="../tables/table42.xml"/><Relationship Id="rId10" Type="http://schemas.openxmlformats.org/officeDocument/2006/relationships/table" Target="../tables/table29.xml"/><Relationship Id="rId19" Type="http://schemas.openxmlformats.org/officeDocument/2006/relationships/table" Target="../tables/table38.xml"/><Relationship Id="rId4" Type="http://schemas.openxmlformats.org/officeDocument/2006/relationships/table" Target="../tables/table23.xml"/><Relationship Id="rId9" Type="http://schemas.openxmlformats.org/officeDocument/2006/relationships/table" Target="../tables/table28.xml"/><Relationship Id="rId14" Type="http://schemas.openxmlformats.org/officeDocument/2006/relationships/table" Target="../tables/table33.xml"/><Relationship Id="rId22" Type="http://schemas.openxmlformats.org/officeDocument/2006/relationships/table" Target="../tables/table41.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vml"/><Relationship Id="rId1" Type="http://schemas.openxmlformats.org/officeDocument/2006/relationships/drawing" Target="../drawings/drawing4.xml"/><Relationship Id="rId6" Type="http://schemas.openxmlformats.org/officeDocument/2006/relationships/comments" Target="../comments1.xml"/><Relationship Id="rId5" Type="http://schemas.openxmlformats.org/officeDocument/2006/relationships/table" Target="../tables/table12.xml"/><Relationship Id="rId4" Type="http://schemas.openxmlformats.org/officeDocument/2006/relationships/table" Target="../tables/table1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5.bin"/><Relationship Id="rId5" Type="http://schemas.openxmlformats.org/officeDocument/2006/relationships/table" Target="../tables/table16.xml"/><Relationship Id="rId4" Type="http://schemas.openxmlformats.org/officeDocument/2006/relationships/table" Target="../tables/table1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6.bin"/><Relationship Id="rId5" Type="http://schemas.openxmlformats.org/officeDocument/2006/relationships/table" Target="../tables/table20.xml"/><Relationship Id="rId4" Type="http://schemas.openxmlformats.org/officeDocument/2006/relationships/table" Target="../tables/table19.xml"/></Relationships>
</file>

<file path=xl/worksheets/_rels/sheet8.xml.rels><?xml version="1.0" encoding="UTF-8" standalone="yes"?>
<Relationships xmlns="http://schemas.openxmlformats.org/package/2006/relationships"><Relationship Id="rId1" Type="http://schemas.openxmlformats.org/officeDocument/2006/relationships/table" Target="../tables/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topLeftCell="A28" zoomScale="70" zoomScaleNormal="70" workbookViewId="0"/>
  </sheetViews>
  <sheetFormatPr defaultRowHeight="15" x14ac:dyDescent="0.25"/>
  <cols>
    <col min="1" max="1" width="35.42578125" bestFit="1" customWidth="1"/>
    <col min="5" max="5" width="11.5703125" customWidth="1"/>
    <col min="6" max="6" width="12" customWidth="1"/>
    <col min="7" max="7" width="21.42578125" bestFit="1" customWidth="1"/>
    <col min="8" max="8" width="16.28515625" bestFit="1" customWidth="1"/>
    <col min="10" max="10" width="17.85546875" bestFit="1" customWidth="1"/>
    <col min="11" max="11" width="11.140625" bestFit="1" customWidth="1"/>
  </cols>
  <sheetData>
    <row r="1" spans="1:8" x14ac:dyDescent="0.25">
      <c r="A1" s="2" t="s">
        <v>0</v>
      </c>
      <c r="C1" t="s">
        <v>11</v>
      </c>
      <c r="F1" t="s">
        <v>161</v>
      </c>
    </row>
    <row r="2" spans="1:8" ht="15.75" thickBot="1" x14ac:dyDescent="0.3">
      <c r="A2" s="2"/>
    </row>
    <row r="3" spans="1:8" ht="15.75" thickTop="1" x14ac:dyDescent="0.25">
      <c r="A3" s="5" t="s">
        <v>51</v>
      </c>
      <c r="B3" s="5"/>
      <c r="C3" s="5"/>
      <c r="D3" s="5"/>
      <c r="E3" s="5"/>
      <c r="F3" s="5"/>
      <c r="G3" s="5"/>
      <c r="H3" s="5"/>
    </row>
    <row r="4" spans="1:8" x14ac:dyDescent="0.25">
      <c r="A4" s="84" t="s">
        <v>39</v>
      </c>
      <c r="B4" s="85"/>
      <c r="C4" s="85"/>
      <c r="D4" s="85"/>
      <c r="E4" s="85"/>
      <c r="F4" s="85"/>
      <c r="G4" s="85"/>
      <c r="H4" s="86"/>
    </row>
    <row r="5" spans="1:8" x14ac:dyDescent="0.25">
      <c r="A5" s="84" t="s">
        <v>40</v>
      </c>
      <c r="B5" s="85"/>
      <c r="C5" s="85"/>
      <c r="D5" s="85"/>
      <c r="E5" s="85"/>
      <c r="F5" s="85"/>
      <c r="G5" s="85"/>
      <c r="H5" s="86"/>
    </row>
    <row r="6" spans="1:8" x14ac:dyDescent="0.25">
      <c r="A6" s="84" t="s">
        <v>41</v>
      </c>
      <c r="B6" s="85"/>
      <c r="C6" s="85"/>
      <c r="D6" s="85"/>
      <c r="E6" s="85"/>
      <c r="F6" s="85"/>
      <c r="G6" s="85"/>
      <c r="H6" s="86"/>
    </row>
    <row r="7" spans="1:8" x14ac:dyDescent="0.25">
      <c r="A7" s="84" t="s">
        <v>43</v>
      </c>
      <c r="B7" s="85"/>
      <c r="C7" s="85"/>
      <c r="D7" s="85"/>
      <c r="E7" s="85"/>
      <c r="F7" s="85"/>
      <c r="G7" s="85"/>
      <c r="H7" s="86"/>
    </row>
    <row r="8" spans="1:8" x14ac:dyDescent="0.25">
      <c r="A8" s="84" t="s">
        <v>44</v>
      </c>
      <c r="B8" s="85"/>
      <c r="C8" s="85"/>
      <c r="D8" s="85"/>
      <c r="E8" s="85"/>
      <c r="F8" s="85"/>
      <c r="G8" s="85"/>
      <c r="H8" s="86"/>
    </row>
    <row r="9" spans="1:8" x14ac:dyDescent="0.25">
      <c r="A9" s="84" t="s">
        <v>45</v>
      </c>
      <c r="B9" s="85"/>
      <c r="C9" s="85"/>
      <c r="D9" s="85"/>
      <c r="E9" s="85"/>
      <c r="F9" s="85"/>
      <c r="G9" s="85"/>
      <c r="H9" s="86"/>
    </row>
    <row r="10" spans="1:8" x14ac:dyDescent="0.25">
      <c r="A10" s="84" t="s">
        <v>46</v>
      </c>
      <c r="B10" s="85"/>
      <c r="C10" s="85"/>
      <c r="D10" s="85"/>
      <c r="E10" s="85"/>
      <c r="F10" s="85"/>
      <c r="G10" s="85"/>
      <c r="H10" s="86"/>
    </row>
    <row r="11" spans="1:8" ht="29.25" customHeight="1" x14ac:dyDescent="0.25">
      <c r="A11" s="84" t="s">
        <v>47</v>
      </c>
      <c r="B11" s="85"/>
      <c r="C11" s="85"/>
      <c r="D11" s="85"/>
      <c r="E11" s="85"/>
      <c r="F11" s="85"/>
      <c r="G11" s="85"/>
      <c r="H11" s="86"/>
    </row>
    <row r="12" spans="1:8" ht="47.25" customHeight="1" x14ac:dyDescent="0.25">
      <c r="A12" s="84" t="s">
        <v>48</v>
      </c>
      <c r="B12" s="85"/>
      <c r="C12" s="85"/>
      <c r="D12" s="85"/>
      <c r="E12" s="85"/>
      <c r="F12" s="85"/>
      <c r="G12" s="85"/>
      <c r="H12" s="86"/>
    </row>
    <row r="13" spans="1:8" ht="47.25" customHeight="1" x14ac:dyDescent="0.25">
      <c r="A13" s="84" t="s">
        <v>49</v>
      </c>
      <c r="B13" s="85"/>
      <c r="C13" s="85"/>
      <c r="D13" s="85"/>
      <c r="E13" s="85"/>
      <c r="F13" s="85"/>
      <c r="G13" s="85"/>
      <c r="H13" s="86"/>
    </row>
    <row r="14" spans="1:8" x14ac:dyDescent="0.25">
      <c r="A14" s="84" t="s">
        <v>50</v>
      </c>
      <c r="B14" s="85"/>
      <c r="C14" s="85"/>
      <c r="D14" s="85"/>
      <c r="E14" s="85"/>
      <c r="F14" s="85"/>
      <c r="G14" s="85"/>
      <c r="H14" s="86"/>
    </row>
    <row r="16" spans="1:8" x14ac:dyDescent="0.25">
      <c r="A16" s="2" t="s">
        <v>10</v>
      </c>
      <c r="C16" t="s">
        <v>7</v>
      </c>
    </row>
    <row r="17" spans="1:11" x14ac:dyDescent="0.25">
      <c r="A17" t="s">
        <v>1</v>
      </c>
      <c r="B17" t="s">
        <v>8</v>
      </c>
      <c r="C17" t="s">
        <v>9</v>
      </c>
      <c r="D17" t="s">
        <v>2</v>
      </c>
      <c r="E17" t="s">
        <v>4</v>
      </c>
      <c r="F17" t="s">
        <v>5</v>
      </c>
      <c r="G17" t="s">
        <v>6</v>
      </c>
      <c r="H17" t="s">
        <v>99</v>
      </c>
      <c r="J17" t="s">
        <v>32</v>
      </c>
      <c r="K17" s="4">
        <f>AVERAGE(Table1[Low*])</f>
        <v>15.153846153846153</v>
      </c>
    </row>
    <row r="18" spans="1:11" x14ac:dyDescent="0.25">
      <c r="A18" t="s">
        <v>3</v>
      </c>
      <c r="B18">
        <v>10</v>
      </c>
      <c r="C18">
        <v>16</v>
      </c>
      <c r="D18" s="1">
        <v>150</v>
      </c>
      <c r="E18" s="1">
        <f t="shared" ref="E18:E30" si="0">SUM(B18*D18)</f>
        <v>1500</v>
      </c>
      <c r="F18" s="1">
        <f t="shared" ref="F18:F30" si="1">SUM(C18*D18)</f>
        <v>2400</v>
      </c>
      <c r="G18" t="s">
        <v>67</v>
      </c>
      <c r="H18">
        <f>AVERAGE(Table1[[#This Row],[Low*]:[High*]])</f>
        <v>13</v>
      </c>
      <c r="J18" t="s">
        <v>33</v>
      </c>
      <c r="K18" s="4">
        <f>AVERAGE(Table1[High*])</f>
        <v>24.46153846153846</v>
      </c>
    </row>
    <row r="19" spans="1:11" x14ac:dyDescent="0.25">
      <c r="A19" t="s">
        <v>3</v>
      </c>
      <c r="B19">
        <v>13</v>
      </c>
      <c r="C19">
        <v>20</v>
      </c>
      <c r="D19" s="1">
        <v>105</v>
      </c>
      <c r="E19" s="1">
        <f t="shared" si="0"/>
        <v>1365</v>
      </c>
      <c r="F19" s="1">
        <f t="shared" si="1"/>
        <v>2100</v>
      </c>
      <c r="G19" t="s">
        <v>68</v>
      </c>
      <c r="H19">
        <f>AVERAGE(Table1[[#This Row],[Low*]:[High*]])</f>
        <v>16.5</v>
      </c>
      <c r="J19" t="s">
        <v>99</v>
      </c>
      <c r="K19" s="14">
        <f>AVERAGE(Table1[Hour Average])</f>
        <v>19.807692307692307</v>
      </c>
    </row>
    <row r="20" spans="1:11" x14ac:dyDescent="0.25">
      <c r="A20" t="s">
        <v>3</v>
      </c>
      <c r="B20">
        <v>12</v>
      </c>
      <c r="C20">
        <v>32</v>
      </c>
      <c r="D20" s="1">
        <v>150</v>
      </c>
      <c r="E20" s="1">
        <f t="shared" si="0"/>
        <v>1800</v>
      </c>
      <c r="F20" s="1">
        <f t="shared" si="1"/>
        <v>4800</v>
      </c>
      <c r="G20" t="s">
        <v>69</v>
      </c>
      <c r="H20">
        <f>AVERAGE(Table1[[#This Row],[Low*]:[High*]])</f>
        <v>22</v>
      </c>
      <c r="J20" t="s">
        <v>34</v>
      </c>
      <c r="K20" s="1">
        <f>AVERAGE(Table1[Rate])</f>
        <v>143.46153846153845</v>
      </c>
    </row>
    <row r="21" spans="1:11" x14ac:dyDescent="0.25">
      <c r="A21" t="s">
        <v>3</v>
      </c>
      <c r="B21">
        <v>24</v>
      </c>
      <c r="C21">
        <v>40</v>
      </c>
      <c r="D21" s="1">
        <v>165</v>
      </c>
      <c r="E21" s="1">
        <f t="shared" si="0"/>
        <v>3960</v>
      </c>
      <c r="F21" s="1">
        <f t="shared" si="1"/>
        <v>6600</v>
      </c>
      <c r="G21" t="s">
        <v>70</v>
      </c>
      <c r="H21">
        <f>AVERAGE(Table1[[#This Row],[Low*]:[High*]])</f>
        <v>32</v>
      </c>
      <c r="J21" t="s">
        <v>35</v>
      </c>
      <c r="K21" s="1">
        <f>AVERAGE(Table1[Low Total])</f>
        <v>2192.6923076923076</v>
      </c>
    </row>
    <row r="22" spans="1:11" x14ac:dyDescent="0.25">
      <c r="A22" t="s">
        <v>3</v>
      </c>
      <c r="B22">
        <v>24</v>
      </c>
      <c r="C22">
        <v>32</v>
      </c>
      <c r="D22" s="1">
        <v>150</v>
      </c>
      <c r="E22" s="1">
        <f t="shared" si="0"/>
        <v>3600</v>
      </c>
      <c r="F22" s="1">
        <f t="shared" si="1"/>
        <v>4800</v>
      </c>
      <c r="G22" t="s">
        <v>71</v>
      </c>
      <c r="H22">
        <f>AVERAGE(Table1[[#This Row],[Low*]:[High*]])</f>
        <v>28</v>
      </c>
      <c r="J22" t="s">
        <v>36</v>
      </c>
      <c r="K22" s="1">
        <f>AVERAGE(Table1[High Total])</f>
        <v>3546.9230769230771</v>
      </c>
    </row>
    <row r="23" spans="1:11" x14ac:dyDescent="0.25">
      <c r="A23" t="s">
        <v>3</v>
      </c>
      <c r="B23">
        <v>8</v>
      </c>
      <c r="C23">
        <v>20</v>
      </c>
      <c r="D23" s="1">
        <v>175</v>
      </c>
      <c r="E23" s="1">
        <f t="shared" si="0"/>
        <v>1400</v>
      </c>
      <c r="F23" s="1">
        <f t="shared" si="1"/>
        <v>3500</v>
      </c>
      <c r="G23" t="s">
        <v>72</v>
      </c>
      <c r="H23">
        <f>AVERAGE(Table1[[#This Row],[Low*]:[High*]])</f>
        <v>14</v>
      </c>
    </row>
    <row r="24" spans="1:11" x14ac:dyDescent="0.25">
      <c r="A24" t="s">
        <v>3</v>
      </c>
      <c r="B24">
        <v>14</v>
      </c>
      <c r="C24">
        <v>24</v>
      </c>
      <c r="D24" s="1">
        <v>150</v>
      </c>
      <c r="E24" s="1">
        <f t="shared" si="0"/>
        <v>2100</v>
      </c>
      <c r="F24" s="1">
        <f t="shared" si="1"/>
        <v>3600</v>
      </c>
      <c r="G24" t="s">
        <v>73</v>
      </c>
      <c r="H24">
        <f>AVERAGE(Table1[[#This Row],[Low*]:[High*]])</f>
        <v>19</v>
      </c>
    </row>
    <row r="25" spans="1:11" x14ac:dyDescent="0.25">
      <c r="A25" t="s">
        <v>3</v>
      </c>
      <c r="B25">
        <v>12</v>
      </c>
      <c r="C25">
        <v>24</v>
      </c>
      <c r="D25" s="1">
        <v>85</v>
      </c>
      <c r="E25" s="1">
        <f t="shared" si="0"/>
        <v>1020</v>
      </c>
      <c r="F25" s="1">
        <f t="shared" si="1"/>
        <v>2040</v>
      </c>
      <c r="G25" t="s">
        <v>74</v>
      </c>
      <c r="H25">
        <f>AVERAGE(Table1[[#This Row],[Low*]:[High*]])</f>
        <v>18</v>
      </c>
    </row>
    <row r="26" spans="1:11" x14ac:dyDescent="0.25">
      <c r="A26" t="s">
        <v>3</v>
      </c>
      <c r="B26">
        <v>24</v>
      </c>
      <c r="C26">
        <v>24</v>
      </c>
      <c r="D26" s="1">
        <v>150</v>
      </c>
      <c r="E26" s="1">
        <f t="shared" si="0"/>
        <v>3600</v>
      </c>
      <c r="F26" s="1">
        <f t="shared" si="1"/>
        <v>3600</v>
      </c>
      <c r="G26" t="s">
        <v>75</v>
      </c>
      <c r="H26">
        <f>AVERAGE(Table1[[#This Row],[Low*]:[High*]])</f>
        <v>24</v>
      </c>
    </row>
    <row r="27" spans="1:11" x14ac:dyDescent="0.25">
      <c r="A27" t="s">
        <v>3</v>
      </c>
      <c r="B27">
        <v>16</v>
      </c>
      <c r="C27">
        <v>22</v>
      </c>
      <c r="D27" s="1">
        <v>185</v>
      </c>
      <c r="E27" s="1">
        <f t="shared" si="0"/>
        <v>2960</v>
      </c>
      <c r="F27" s="1">
        <f t="shared" si="1"/>
        <v>4070</v>
      </c>
      <c r="G27" t="s">
        <v>76</v>
      </c>
      <c r="H27">
        <f>AVERAGE(Table1[[#This Row],[Low*]:[High*]])</f>
        <v>19</v>
      </c>
    </row>
    <row r="28" spans="1:11" x14ac:dyDescent="0.25">
      <c r="A28" t="s">
        <v>3</v>
      </c>
      <c r="B28">
        <v>14</v>
      </c>
      <c r="C28">
        <v>18</v>
      </c>
      <c r="D28" s="1">
        <v>150</v>
      </c>
      <c r="E28" s="1">
        <f t="shared" si="0"/>
        <v>2100</v>
      </c>
      <c r="F28" s="1">
        <f t="shared" si="1"/>
        <v>2700</v>
      </c>
      <c r="G28" t="s">
        <v>77</v>
      </c>
      <c r="H28">
        <f>AVERAGE(Table1[[#This Row],[Low*]:[High*]])</f>
        <v>16</v>
      </c>
    </row>
    <row r="29" spans="1:11" x14ac:dyDescent="0.25">
      <c r="A29" t="s">
        <v>3</v>
      </c>
      <c r="B29">
        <v>14</v>
      </c>
      <c r="C29">
        <v>22</v>
      </c>
      <c r="D29" s="1">
        <v>50</v>
      </c>
      <c r="E29" s="1">
        <f t="shared" si="0"/>
        <v>700</v>
      </c>
      <c r="F29" s="1">
        <f t="shared" si="1"/>
        <v>1100</v>
      </c>
      <c r="G29" t="s">
        <v>78</v>
      </c>
      <c r="H29">
        <f>AVERAGE(Table1[[#This Row],[Low*]:[High*]])</f>
        <v>18</v>
      </c>
    </row>
    <row r="30" spans="1:11" x14ac:dyDescent="0.25">
      <c r="A30" t="s">
        <v>3</v>
      </c>
      <c r="B30">
        <v>12</v>
      </c>
      <c r="C30">
        <v>24</v>
      </c>
      <c r="D30" s="1">
        <v>200</v>
      </c>
      <c r="E30" s="1">
        <f t="shared" si="0"/>
        <v>2400</v>
      </c>
      <c r="F30" s="1">
        <f t="shared" si="1"/>
        <v>4800</v>
      </c>
      <c r="G30" t="s">
        <v>79</v>
      </c>
      <c r="H30">
        <f>AVERAGE(Table1[[#This Row],[Low*]:[High*]])</f>
        <v>18</v>
      </c>
    </row>
    <row r="34" spans="1:11" x14ac:dyDescent="0.25">
      <c r="A34" s="2" t="s">
        <v>13</v>
      </c>
      <c r="C34" t="s">
        <v>7</v>
      </c>
    </row>
    <row r="35" spans="1:11" x14ac:dyDescent="0.25">
      <c r="A35" t="s">
        <v>1</v>
      </c>
      <c r="B35" t="s">
        <v>8</v>
      </c>
      <c r="C35" t="s">
        <v>9</v>
      </c>
      <c r="D35" t="s">
        <v>2</v>
      </c>
      <c r="E35" t="s">
        <v>4</v>
      </c>
      <c r="F35" t="s">
        <v>5</v>
      </c>
      <c r="G35" t="s">
        <v>6</v>
      </c>
      <c r="H35" t="s">
        <v>99</v>
      </c>
      <c r="J35" t="s">
        <v>32</v>
      </c>
      <c r="K35" s="4">
        <f>AVERAGE(Table13[Low*])</f>
        <v>21.53846153846154</v>
      </c>
    </row>
    <row r="36" spans="1:11" x14ac:dyDescent="0.25">
      <c r="A36" t="s">
        <v>3</v>
      </c>
      <c r="B36">
        <v>12</v>
      </c>
      <c r="C36">
        <v>18</v>
      </c>
      <c r="D36" s="1">
        <v>150</v>
      </c>
      <c r="E36" s="1">
        <f t="shared" ref="E36:E48" si="2">SUM(B36*D36)</f>
        <v>1800</v>
      </c>
      <c r="F36" s="1">
        <f t="shared" ref="F36:F48" si="3">SUM(C36*D36)</f>
        <v>2700</v>
      </c>
      <c r="G36" t="s">
        <v>67</v>
      </c>
      <c r="H36">
        <f>AVERAGE(Table13[[#This Row],[Low*]:[High*]])</f>
        <v>15</v>
      </c>
      <c r="J36" t="s">
        <v>33</v>
      </c>
      <c r="K36" s="4">
        <f>AVERAGE(Table13[High*])</f>
        <v>31.384615384615383</v>
      </c>
    </row>
    <row r="37" spans="1:11" x14ac:dyDescent="0.25">
      <c r="A37" t="s">
        <v>3</v>
      </c>
      <c r="B37">
        <v>18</v>
      </c>
      <c r="C37">
        <v>26</v>
      </c>
      <c r="D37" s="1">
        <v>120</v>
      </c>
      <c r="E37" s="1">
        <f t="shared" si="2"/>
        <v>2160</v>
      </c>
      <c r="F37" s="1">
        <f t="shared" si="3"/>
        <v>3120</v>
      </c>
      <c r="G37" t="s">
        <v>68</v>
      </c>
      <c r="H37">
        <f>AVERAGE(Table13[[#This Row],[Low*]:[High*]])</f>
        <v>22</v>
      </c>
      <c r="J37" t="s">
        <v>99</v>
      </c>
      <c r="K37" s="14">
        <f>AVERAGE(Table13[Hour Average])</f>
        <v>26.46153846153846</v>
      </c>
    </row>
    <row r="38" spans="1:11" x14ac:dyDescent="0.25">
      <c r="A38" t="s">
        <v>3</v>
      </c>
      <c r="B38">
        <v>16</v>
      </c>
      <c r="C38">
        <v>40</v>
      </c>
      <c r="D38" s="1">
        <v>150</v>
      </c>
      <c r="E38" s="1">
        <f t="shared" si="2"/>
        <v>2400</v>
      </c>
      <c r="F38" s="1">
        <f t="shared" si="3"/>
        <v>6000</v>
      </c>
      <c r="G38" t="s">
        <v>69</v>
      </c>
      <c r="H38">
        <f>AVERAGE(Table13[[#This Row],[Low*]:[High*]])</f>
        <v>28</v>
      </c>
      <c r="J38" t="s">
        <v>34</v>
      </c>
      <c r="K38" s="1">
        <f>AVERAGE(Table13[Rate])</f>
        <v>149.61538461538461</v>
      </c>
    </row>
    <row r="39" spans="1:11" x14ac:dyDescent="0.25">
      <c r="A39" t="s">
        <v>3</v>
      </c>
      <c r="B39">
        <v>28</v>
      </c>
      <c r="C39">
        <v>40</v>
      </c>
      <c r="D39" s="1">
        <v>165</v>
      </c>
      <c r="E39" s="1">
        <f t="shared" si="2"/>
        <v>4620</v>
      </c>
      <c r="F39" s="1">
        <f t="shared" si="3"/>
        <v>6600</v>
      </c>
      <c r="G39" t="s">
        <v>70</v>
      </c>
      <c r="H39">
        <f>AVERAGE(Table13[[#This Row],[Low*]:[High*]])</f>
        <v>34</v>
      </c>
      <c r="J39" t="s">
        <v>35</v>
      </c>
      <c r="K39" s="1">
        <f>AVERAGE(Table13[Low Total])</f>
        <v>3196.1538461538462</v>
      </c>
    </row>
    <row r="40" spans="1:11" x14ac:dyDescent="0.25">
      <c r="A40" t="s">
        <v>3</v>
      </c>
      <c r="B40">
        <v>32</v>
      </c>
      <c r="C40">
        <v>40</v>
      </c>
      <c r="D40" s="1">
        <v>150</v>
      </c>
      <c r="E40" s="1">
        <f t="shared" si="2"/>
        <v>4800</v>
      </c>
      <c r="F40" s="1">
        <f t="shared" si="3"/>
        <v>6000</v>
      </c>
      <c r="G40" t="s">
        <v>71</v>
      </c>
      <c r="H40">
        <f>AVERAGE(Table13[[#This Row],[Low*]:[High*]])</f>
        <v>36</v>
      </c>
      <c r="J40" t="s">
        <v>36</v>
      </c>
      <c r="K40" s="1">
        <f>AVERAGE(Table13[High Total])</f>
        <v>4596.9230769230771</v>
      </c>
    </row>
    <row r="41" spans="1:11" x14ac:dyDescent="0.25">
      <c r="A41" t="s">
        <v>3</v>
      </c>
      <c r="B41">
        <v>16</v>
      </c>
      <c r="C41">
        <v>28</v>
      </c>
      <c r="D41" s="1">
        <v>175</v>
      </c>
      <c r="E41" s="1">
        <f t="shared" si="2"/>
        <v>2800</v>
      </c>
      <c r="F41" s="1">
        <f t="shared" si="3"/>
        <v>4900</v>
      </c>
      <c r="G41" t="s">
        <v>72</v>
      </c>
      <c r="H41">
        <f>AVERAGE(Table13[[#This Row],[Low*]:[High*]])</f>
        <v>22</v>
      </c>
    </row>
    <row r="42" spans="1:11" x14ac:dyDescent="0.25">
      <c r="A42" t="s">
        <v>3</v>
      </c>
      <c r="B42">
        <v>32</v>
      </c>
      <c r="C42">
        <v>40</v>
      </c>
      <c r="D42" s="1">
        <v>150</v>
      </c>
      <c r="E42" s="1">
        <f t="shared" si="2"/>
        <v>4800</v>
      </c>
      <c r="F42" s="1">
        <f t="shared" si="3"/>
        <v>6000</v>
      </c>
      <c r="G42" t="s">
        <v>73</v>
      </c>
      <c r="H42">
        <f>AVERAGE(Table13[[#This Row],[Low*]:[High*]])</f>
        <v>36</v>
      </c>
    </row>
    <row r="43" spans="1:11" x14ac:dyDescent="0.25">
      <c r="A43" t="s">
        <v>3</v>
      </c>
      <c r="B43">
        <v>16</v>
      </c>
      <c r="C43">
        <v>32</v>
      </c>
      <c r="D43" s="1">
        <v>135</v>
      </c>
      <c r="E43" s="1">
        <f t="shared" si="2"/>
        <v>2160</v>
      </c>
      <c r="F43" s="1">
        <f t="shared" si="3"/>
        <v>4320</v>
      </c>
      <c r="G43" t="s">
        <v>74</v>
      </c>
      <c r="H43">
        <f>AVERAGE(Table13[[#This Row],[Low*]:[High*]])</f>
        <v>24</v>
      </c>
    </row>
    <row r="44" spans="1:11" x14ac:dyDescent="0.25">
      <c r="A44" t="s">
        <v>3</v>
      </c>
      <c r="B44">
        <v>32</v>
      </c>
      <c r="C44">
        <v>32</v>
      </c>
      <c r="D44" s="1">
        <v>165</v>
      </c>
      <c r="E44" s="1">
        <f t="shared" si="2"/>
        <v>5280</v>
      </c>
      <c r="F44" s="1">
        <f t="shared" si="3"/>
        <v>5280</v>
      </c>
      <c r="G44" t="s">
        <v>75</v>
      </c>
      <c r="H44">
        <f>AVERAGE(Table13[[#This Row],[Low*]:[High*]])</f>
        <v>32</v>
      </c>
    </row>
    <row r="45" spans="1:11" x14ac:dyDescent="0.25">
      <c r="A45" t="s">
        <v>3</v>
      </c>
      <c r="B45">
        <v>18</v>
      </c>
      <c r="C45">
        <v>24</v>
      </c>
      <c r="D45" s="1">
        <v>185</v>
      </c>
      <c r="E45" s="1">
        <f t="shared" si="2"/>
        <v>3330</v>
      </c>
      <c r="F45" s="1">
        <f t="shared" si="3"/>
        <v>4440</v>
      </c>
      <c r="G45" t="s">
        <v>76</v>
      </c>
      <c r="H45">
        <f>AVERAGE(Table13[[#This Row],[Low*]:[High*]])</f>
        <v>21</v>
      </c>
    </row>
    <row r="46" spans="1:11" x14ac:dyDescent="0.25">
      <c r="A46" t="s">
        <v>3</v>
      </c>
      <c r="B46">
        <v>20</v>
      </c>
      <c r="C46">
        <v>24</v>
      </c>
      <c r="D46" s="1">
        <v>150</v>
      </c>
      <c r="E46" s="1">
        <f t="shared" si="2"/>
        <v>3000</v>
      </c>
      <c r="F46" s="1">
        <f t="shared" si="3"/>
        <v>3600</v>
      </c>
      <c r="G46" t="s">
        <v>77</v>
      </c>
      <c r="H46">
        <f>AVERAGE(Table13[[#This Row],[Low*]:[High*]])</f>
        <v>22</v>
      </c>
    </row>
    <row r="47" spans="1:11" x14ac:dyDescent="0.25">
      <c r="A47" t="s">
        <v>3</v>
      </c>
      <c r="B47">
        <v>24</v>
      </c>
      <c r="C47">
        <v>40</v>
      </c>
      <c r="D47" s="1">
        <v>50</v>
      </c>
      <c r="E47" s="1">
        <f t="shared" si="2"/>
        <v>1200</v>
      </c>
      <c r="F47" s="1">
        <f t="shared" si="3"/>
        <v>2000</v>
      </c>
      <c r="G47" t="s">
        <v>78</v>
      </c>
      <c r="H47">
        <f>AVERAGE(Table13[[#This Row],[Low*]:[High*]])</f>
        <v>32</v>
      </c>
    </row>
    <row r="48" spans="1:11" x14ac:dyDescent="0.25">
      <c r="A48" t="s">
        <v>3</v>
      </c>
      <c r="B48">
        <v>16</v>
      </c>
      <c r="C48">
        <v>24</v>
      </c>
      <c r="D48" s="1">
        <v>200</v>
      </c>
      <c r="E48" s="1">
        <f t="shared" si="2"/>
        <v>3200</v>
      </c>
      <c r="F48" s="1">
        <f t="shared" si="3"/>
        <v>4800</v>
      </c>
      <c r="G48" t="s">
        <v>79</v>
      </c>
      <c r="H48">
        <f>AVERAGE(Table13[[#This Row],[Low*]:[High*]])</f>
        <v>20</v>
      </c>
    </row>
    <row r="52" spans="1:11" x14ac:dyDescent="0.25">
      <c r="A52" s="2" t="s">
        <v>14</v>
      </c>
      <c r="C52" t="s">
        <v>7</v>
      </c>
    </row>
    <row r="53" spans="1:11" x14ac:dyDescent="0.25">
      <c r="A53" t="s">
        <v>1</v>
      </c>
      <c r="B53" t="s">
        <v>8</v>
      </c>
      <c r="C53" t="s">
        <v>9</v>
      </c>
      <c r="D53" t="s">
        <v>2</v>
      </c>
      <c r="E53" t="s">
        <v>4</v>
      </c>
      <c r="F53" t="s">
        <v>5</v>
      </c>
      <c r="G53" t="s">
        <v>6</v>
      </c>
      <c r="H53" t="s">
        <v>99</v>
      </c>
      <c r="J53" t="s">
        <v>32</v>
      </c>
      <c r="K53" s="4">
        <f>AVERAGE(Table15[Low*])</f>
        <v>34.5</v>
      </c>
    </row>
    <row r="54" spans="1:11" x14ac:dyDescent="0.25">
      <c r="A54" t="s">
        <v>3</v>
      </c>
      <c r="B54">
        <v>18</v>
      </c>
      <c r="C54">
        <v>52</v>
      </c>
      <c r="D54" s="1">
        <v>150</v>
      </c>
      <c r="E54" s="1">
        <f t="shared" ref="E54:E65" si="4">SUM(B54*D54)</f>
        <v>2700</v>
      </c>
      <c r="F54" s="1">
        <f t="shared" ref="F54:F65" si="5">SUM(C54*D54)</f>
        <v>7800</v>
      </c>
      <c r="G54" t="s">
        <v>67</v>
      </c>
      <c r="H54">
        <f>AVERAGE(Table15[[#This Row],[Low*]:[High*]])</f>
        <v>35</v>
      </c>
      <c r="J54" t="s">
        <v>33</v>
      </c>
      <c r="K54" s="4">
        <f>AVERAGE(Table15[High*])</f>
        <v>51.583333333333336</v>
      </c>
    </row>
    <row r="55" spans="1:11" x14ac:dyDescent="0.25">
      <c r="A55" t="s">
        <v>3</v>
      </c>
      <c r="B55">
        <v>30</v>
      </c>
      <c r="C55">
        <v>37</v>
      </c>
      <c r="D55" s="1">
        <v>120</v>
      </c>
      <c r="E55" s="1">
        <f t="shared" si="4"/>
        <v>3600</v>
      </c>
      <c r="F55" s="1">
        <f t="shared" si="5"/>
        <v>4440</v>
      </c>
      <c r="G55" t="s">
        <v>68</v>
      </c>
      <c r="H55">
        <f>AVERAGE(Table15[[#This Row],[Low*]:[High*]])</f>
        <v>33.5</v>
      </c>
      <c r="J55" t="s">
        <v>99</v>
      </c>
      <c r="K55" s="14">
        <f>AVERAGE(Table15[Hour Average])</f>
        <v>43.041666666666664</v>
      </c>
    </row>
    <row r="56" spans="1:11" x14ac:dyDescent="0.25">
      <c r="A56" t="s">
        <v>3</v>
      </c>
      <c r="B56">
        <v>32</v>
      </c>
      <c r="C56">
        <v>56</v>
      </c>
      <c r="D56" s="1">
        <v>150</v>
      </c>
      <c r="E56" s="1">
        <f t="shared" si="4"/>
        <v>4800</v>
      </c>
      <c r="F56" s="1">
        <f t="shared" si="5"/>
        <v>8400</v>
      </c>
      <c r="G56" t="s">
        <v>69</v>
      </c>
      <c r="H56">
        <f>AVERAGE(Table15[[#This Row],[Low*]:[High*]])</f>
        <v>44</v>
      </c>
      <c r="J56" t="s">
        <v>34</v>
      </c>
      <c r="K56" s="1">
        <f>AVERAGE(Table15[Rate])</f>
        <v>157.91666666666666</v>
      </c>
    </row>
    <row r="57" spans="1:11" x14ac:dyDescent="0.25">
      <c r="A57" t="s">
        <v>3</v>
      </c>
      <c r="B57" s="6">
        <v>60</v>
      </c>
      <c r="C57" s="6">
        <v>80</v>
      </c>
      <c r="D57" s="7">
        <v>165</v>
      </c>
      <c r="E57" s="7">
        <f t="shared" si="4"/>
        <v>9900</v>
      </c>
      <c r="F57" s="7">
        <f t="shared" si="5"/>
        <v>13200</v>
      </c>
      <c r="G57" t="s">
        <v>70</v>
      </c>
      <c r="H57">
        <f>AVERAGE(Table15[[#This Row],[Low*]:[High*]])</f>
        <v>70</v>
      </c>
      <c r="J57" t="s">
        <v>35</v>
      </c>
      <c r="K57" s="1">
        <f>AVERAGE(Table15[Low Total])</f>
        <v>5440.833333333333</v>
      </c>
    </row>
    <row r="58" spans="1:11" x14ac:dyDescent="0.25">
      <c r="A58" t="s">
        <v>3</v>
      </c>
      <c r="B58">
        <v>40</v>
      </c>
      <c r="C58">
        <v>58</v>
      </c>
      <c r="D58" s="1">
        <v>150</v>
      </c>
      <c r="E58" s="1">
        <f t="shared" si="4"/>
        <v>6000</v>
      </c>
      <c r="F58" s="1">
        <f t="shared" si="5"/>
        <v>8700</v>
      </c>
      <c r="G58" t="s">
        <v>71</v>
      </c>
      <c r="H58">
        <f>AVERAGE(Table15[[#This Row],[Low*]:[High*]])</f>
        <v>49</v>
      </c>
      <c r="J58" t="s">
        <v>36</v>
      </c>
      <c r="K58" s="1">
        <f>AVERAGE(Table15[High Total])</f>
        <v>8185</v>
      </c>
    </row>
    <row r="59" spans="1:11" x14ac:dyDescent="0.25">
      <c r="A59" t="s">
        <v>3</v>
      </c>
      <c r="B59">
        <v>24</v>
      </c>
      <c r="C59">
        <v>40</v>
      </c>
      <c r="D59" s="1">
        <v>175</v>
      </c>
      <c r="E59" s="1">
        <f t="shared" si="4"/>
        <v>4200</v>
      </c>
      <c r="F59" s="1">
        <f t="shared" si="5"/>
        <v>7000</v>
      </c>
      <c r="G59" t="s">
        <v>72</v>
      </c>
      <c r="H59">
        <f>AVERAGE(Table15[[#This Row],[Low*]:[High*]])</f>
        <v>32</v>
      </c>
    </row>
    <row r="60" spans="1:11" x14ac:dyDescent="0.25">
      <c r="A60" t="s">
        <v>3</v>
      </c>
      <c r="B60">
        <v>32</v>
      </c>
      <c r="C60">
        <v>40</v>
      </c>
      <c r="D60" s="1">
        <v>150</v>
      </c>
      <c r="E60" s="1">
        <f t="shared" si="4"/>
        <v>4800</v>
      </c>
      <c r="F60" s="1">
        <f t="shared" si="5"/>
        <v>6000</v>
      </c>
      <c r="G60" t="s">
        <v>73</v>
      </c>
      <c r="H60">
        <f>AVERAGE(Table15[[#This Row],[Low*]:[High*]])</f>
        <v>36</v>
      </c>
    </row>
    <row r="61" spans="1:11" x14ac:dyDescent="0.25">
      <c r="A61" t="s">
        <v>3</v>
      </c>
      <c r="B61">
        <v>32</v>
      </c>
      <c r="C61">
        <v>52</v>
      </c>
      <c r="D61" s="1">
        <v>135</v>
      </c>
      <c r="E61" s="1">
        <f t="shared" si="4"/>
        <v>4320</v>
      </c>
      <c r="F61" s="1">
        <f t="shared" si="5"/>
        <v>7020</v>
      </c>
      <c r="G61" t="s">
        <v>74</v>
      </c>
      <c r="H61">
        <f>AVERAGE(Table15[[#This Row],[Low*]:[High*]])</f>
        <v>42</v>
      </c>
    </row>
    <row r="62" spans="1:11" x14ac:dyDescent="0.25">
      <c r="A62" t="s">
        <v>3</v>
      </c>
      <c r="B62">
        <v>64</v>
      </c>
      <c r="C62">
        <v>64</v>
      </c>
      <c r="D62" s="1">
        <v>165</v>
      </c>
      <c r="E62" s="1">
        <f t="shared" si="4"/>
        <v>10560</v>
      </c>
      <c r="F62" s="1">
        <f t="shared" si="5"/>
        <v>10560</v>
      </c>
      <c r="G62" t="s">
        <v>75</v>
      </c>
      <c r="H62">
        <f>AVERAGE(Table15[[#This Row],[Low*]:[High*]])</f>
        <v>64</v>
      </c>
    </row>
    <row r="63" spans="1:11" x14ac:dyDescent="0.25">
      <c r="A63" t="s">
        <v>3</v>
      </c>
      <c r="B63">
        <v>26</v>
      </c>
      <c r="C63">
        <v>60</v>
      </c>
      <c r="D63" s="1">
        <v>185</v>
      </c>
      <c r="E63" s="1">
        <f t="shared" si="4"/>
        <v>4810</v>
      </c>
      <c r="F63" s="1">
        <f t="shared" si="5"/>
        <v>11100</v>
      </c>
      <c r="G63" t="s">
        <v>76</v>
      </c>
      <c r="H63">
        <f>AVERAGE(Table15[[#This Row],[Low*]:[High*]])</f>
        <v>43</v>
      </c>
    </row>
    <row r="64" spans="1:11" x14ac:dyDescent="0.25">
      <c r="A64" t="s">
        <v>3</v>
      </c>
      <c r="B64">
        <v>32</v>
      </c>
      <c r="C64">
        <v>40</v>
      </c>
      <c r="D64" s="1">
        <v>150</v>
      </c>
      <c r="E64" s="1">
        <f t="shared" si="4"/>
        <v>4800</v>
      </c>
      <c r="F64" s="1">
        <f t="shared" si="5"/>
        <v>6000</v>
      </c>
      <c r="G64" t="s">
        <v>77</v>
      </c>
      <c r="H64">
        <f>AVERAGE(Table15[[#This Row],[Low*]:[High*]])</f>
        <v>36</v>
      </c>
    </row>
    <row r="65" spans="1:11" x14ac:dyDescent="0.25">
      <c r="A65" t="s">
        <v>3</v>
      </c>
      <c r="B65">
        <v>24</v>
      </c>
      <c r="C65">
        <v>40</v>
      </c>
      <c r="D65" s="1">
        <v>200</v>
      </c>
      <c r="E65" s="1">
        <f t="shared" si="4"/>
        <v>4800</v>
      </c>
      <c r="F65" s="1">
        <f t="shared" si="5"/>
        <v>8000</v>
      </c>
      <c r="G65" t="s">
        <v>79</v>
      </c>
      <c r="H65">
        <f>AVERAGE(Table15[[#This Row],[Low*]:[High*]])</f>
        <v>32</v>
      </c>
    </row>
    <row r="66" spans="1:11" x14ac:dyDescent="0.25">
      <c r="E66" s="1"/>
      <c r="F66" s="1"/>
    </row>
    <row r="69" spans="1:11" x14ac:dyDescent="0.25">
      <c r="A69" s="2" t="s">
        <v>15</v>
      </c>
      <c r="C69" t="s">
        <v>7</v>
      </c>
    </row>
    <row r="70" spans="1:11" x14ac:dyDescent="0.25">
      <c r="A70" t="s">
        <v>1</v>
      </c>
      <c r="B70" t="s">
        <v>8</v>
      </c>
      <c r="C70" t="s">
        <v>9</v>
      </c>
      <c r="D70" t="s">
        <v>2</v>
      </c>
      <c r="E70" t="s">
        <v>4</v>
      </c>
      <c r="F70" t="s">
        <v>5</v>
      </c>
      <c r="G70" t="s">
        <v>6</v>
      </c>
      <c r="H70" t="s">
        <v>99</v>
      </c>
      <c r="J70" t="s">
        <v>32</v>
      </c>
      <c r="K70" s="4">
        <f>AVERAGE(Table16[Low*])</f>
        <v>25.846153846153847</v>
      </c>
    </row>
    <row r="71" spans="1:11" x14ac:dyDescent="0.25">
      <c r="A71" t="s">
        <v>3</v>
      </c>
      <c r="B71">
        <v>18</v>
      </c>
      <c r="C71">
        <v>24</v>
      </c>
      <c r="D71" s="1">
        <v>150</v>
      </c>
      <c r="E71" s="1">
        <f t="shared" ref="E71:E83" si="6">SUM(B71*D71)</f>
        <v>2700</v>
      </c>
      <c r="F71" s="1">
        <f t="shared" ref="F71:F83" si="7">SUM(C71*D71)</f>
        <v>3600</v>
      </c>
      <c r="G71" t="s">
        <v>67</v>
      </c>
      <c r="H71">
        <f>AVERAGE(Table16[[#This Row],[Low*]:[High*]])</f>
        <v>21</v>
      </c>
      <c r="J71" t="s">
        <v>33</v>
      </c>
      <c r="K71" s="4">
        <f>AVERAGE(Table16[High*])</f>
        <v>37.769230769230766</v>
      </c>
    </row>
    <row r="72" spans="1:11" x14ac:dyDescent="0.25">
      <c r="A72" t="s">
        <v>3</v>
      </c>
      <c r="B72">
        <v>22</v>
      </c>
      <c r="C72">
        <v>29</v>
      </c>
      <c r="D72" s="1">
        <v>120</v>
      </c>
      <c r="E72" s="1">
        <f t="shared" si="6"/>
        <v>2640</v>
      </c>
      <c r="F72" s="1">
        <f t="shared" si="7"/>
        <v>3480</v>
      </c>
      <c r="G72" t="s">
        <v>68</v>
      </c>
      <c r="H72">
        <f>AVERAGE(Table16[[#This Row],[Low*]:[High*]])</f>
        <v>25.5</v>
      </c>
      <c r="J72" t="s">
        <v>99</v>
      </c>
      <c r="K72" s="14">
        <f>AVERAGE(Table16[Hour Average])</f>
        <v>31.807692307692307</v>
      </c>
    </row>
    <row r="73" spans="1:11" x14ac:dyDescent="0.25">
      <c r="A73" t="s">
        <v>3</v>
      </c>
      <c r="B73">
        <v>24</v>
      </c>
      <c r="C73">
        <v>56</v>
      </c>
      <c r="D73" s="1">
        <v>150</v>
      </c>
      <c r="E73" s="1">
        <f t="shared" si="6"/>
        <v>3600</v>
      </c>
      <c r="F73" s="1">
        <f t="shared" si="7"/>
        <v>8400</v>
      </c>
      <c r="G73" t="s">
        <v>69</v>
      </c>
      <c r="H73">
        <f>AVERAGE(Table16[[#This Row],[Low*]:[High*]])</f>
        <v>40</v>
      </c>
      <c r="J73" t="s">
        <v>34</v>
      </c>
      <c r="K73" s="1">
        <f>AVERAGE(Table16[Rate])</f>
        <v>149.61538461538461</v>
      </c>
    </row>
    <row r="74" spans="1:11" x14ac:dyDescent="0.25">
      <c r="A74" t="s">
        <v>3</v>
      </c>
      <c r="B74">
        <v>48</v>
      </c>
      <c r="C74">
        <v>72</v>
      </c>
      <c r="D74" s="1">
        <v>165</v>
      </c>
      <c r="E74" s="1">
        <f t="shared" si="6"/>
        <v>7920</v>
      </c>
      <c r="F74" s="1">
        <f t="shared" si="7"/>
        <v>11880</v>
      </c>
      <c r="G74" t="s">
        <v>70</v>
      </c>
      <c r="H74">
        <f>AVERAGE(Table16[[#This Row],[Low*]:[High*]])</f>
        <v>60</v>
      </c>
      <c r="J74" t="s">
        <v>35</v>
      </c>
      <c r="K74" s="1">
        <f>AVERAGE(Table16[Low Total])</f>
        <v>3810.7692307692309</v>
      </c>
    </row>
    <row r="75" spans="1:11" x14ac:dyDescent="0.25">
      <c r="A75" t="s">
        <v>3</v>
      </c>
      <c r="B75">
        <v>20</v>
      </c>
      <c r="C75">
        <v>28</v>
      </c>
      <c r="D75" s="1">
        <v>150</v>
      </c>
      <c r="E75" s="1">
        <f t="shared" si="6"/>
        <v>3000</v>
      </c>
      <c r="F75" s="1">
        <f t="shared" si="7"/>
        <v>4200</v>
      </c>
      <c r="G75" t="s">
        <v>71</v>
      </c>
      <c r="H75">
        <f>AVERAGE(Table16[[#This Row],[Low*]:[High*]])</f>
        <v>24</v>
      </c>
      <c r="J75" t="s">
        <v>36</v>
      </c>
      <c r="K75" s="1">
        <f>AVERAGE(Table16[High Total])</f>
        <v>5546.9230769230771</v>
      </c>
    </row>
    <row r="76" spans="1:11" x14ac:dyDescent="0.25">
      <c r="A76" t="s">
        <v>3</v>
      </c>
      <c r="B76">
        <v>16</v>
      </c>
      <c r="C76">
        <v>32</v>
      </c>
      <c r="D76" s="1">
        <v>175</v>
      </c>
      <c r="E76" s="1">
        <f t="shared" si="6"/>
        <v>2800</v>
      </c>
      <c r="F76" s="1">
        <f t="shared" si="7"/>
        <v>5600</v>
      </c>
      <c r="G76" t="s">
        <v>72</v>
      </c>
      <c r="H76">
        <f>AVERAGE(Table16[[#This Row],[Low*]:[High*]])</f>
        <v>24</v>
      </c>
    </row>
    <row r="77" spans="1:11" x14ac:dyDescent="0.25">
      <c r="A77" t="s">
        <v>3</v>
      </c>
      <c r="B77">
        <v>32</v>
      </c>
      <c r="C77">
        <v>40</v>
      </c>
      <c r="D77" s="1">
        <v>150</v>
      </c>
      <c r="E77" s="1">
        <f t="shared" si="6"/>
        <v>4800</v>
      </c>
      <c r="F77" s="1">
        <f t="shared" si="7"/>
        <v>6000</v>
      </c>
      <c r="G77" t="s">
        <v>73</v>
      </c>
      <c r="H77">
        <f>AVERAGE(Table16[[#This Row],[Low*]:[High*]])</f>
        <v>36</v>
      </c>
    </row>
    <row r="78" spans="1:11" x14ac:dyDescent="0.25">
      <c r="A78" t="s">
        <v>3</v>
      </c>
      <c r="B78">
        <v>24</v>
      </c>
      <c r="C78">
        <v>40</v>
      </c>
      <c r="D78" s="1">
        <v>135</v>
      </c>
      <c r="E78" s="1">
        <f t="shared" si="6"/>
        <v>3240</v>
      </c>
      <c r="F78" s="1">
        <f t="shared" si="7"/>
        <v>5400</v>
      </c>
      <c r="G78" t="s">
        <v>74</v>
      </c>
      <c r="H78">
        <f>AVERAGE(Table16[[#This Row],[Low*]:[High*]])</f>
        <v>32</v>
      </c>
    </row>
    <row r="79" spans="1:11" x14ac:dyDescent="0.25">
      <c r="A79" t="s">
        <v>3</v>
      </c>
      <c r="B79">
        <v>40</v>
      </c>
      <c r="C79">
        <v>40</v>
      </c>
      <c r="D79" s="1">
        <v>165</v>
      </c>
      <c r="E79" s="1">
        <f t="shared" si="6"/>
        <v>6600</v>
      </c>
      <c r="F79" s="1">
        <f t="shared" si="7"/>
        <v>6600</v>
      </c>
      <c r="G79" t="s">
        <v>75</v>
      </c>
      <c r="H79">
        <f>AVERAGE(Table16[[#This Row],[Low*]:[High*]])</f>
        <v>40</v>
      </c>
    </row>
    <row r="80" spans="1:11" x14ac:dyDescent="0.25">
      <c r="A80" t="s">
        <v>3</v>
      </c>
      <c r="B80">
        <v>24</v>
      </c>
      <c r="C80">
        <v>30</v>
      </c>
      <c r="D80" s="1">
        <v>185</v>
      </c>
      <c r="E80" s="1">
        <f t="shared" si="6"/>
        <v>4440</v>
      </c>
      <c r="F80" s="1">
        <f t="shared" si="7"/>
        <v>5550</v>
      </c>
      <c r="G80" t="s">
        <v>76</v>
      </c>
      <c r="H80">
        <f>AVERAGE(Table16[[#This Row],[Low*]:[High*]])</f>
        <v>27</v>
      </c>
    </row>
    <row r="81" spans="1:11" x14ac:dyDescent="0.25">
      <c r="A81" t="s">
        <v>3</v>
      </c>
      <c r="B81">
        <v>20</v>
      </c>
      <c r="C81">
        <v>28</v>
      </c>
      <c r="D81" s="1">
        <v>150</v>
      </c>
      <c r="E81" s="1">
        <f t="shared" si="6"/>
        <v>3000</v>
      </c>
      <c r="F81" s="1">
        <f t="shared" si="7"/>
        <v>4200</v>
      </c>
      <c r="G81" t="s">
        <v>77</v>
      </c>
      <c r="H81">
        <f>AVERAGE(Table16[[#This Row],[Low*]:[High*]])</f>
        <v>24</v>
      </c>
    </row>
    <row r="82" spans="1:11" x14ac:dyDescent="0.25">
      <c r="A82" t="s">
        <v>3</v>
      </c>
      <c r="B82">
        <v>32</v>
      </c>
      <c r="C82">
        <v>48</v>
      </c>
      <c r="D82" s="1">
        <v>50</v>
      </c>
      <c r="E82" s="1">
        <f t="shared" si="6"/>
        <v>1600</v>
      </c>
      <c r="F82" s="1">
        <f t="shared" si="7"/>
        <v>2400</v>
      </c>
      <c r="G82" t="s">
        <v>78</v>
      </c>
      <c r="H82">
        <f>AVERAGE(Table16[[#This Row],[Low*]:[High*]])</f>
        <v>40</v>
      </c>
    </row>
    <row r="83" spans="1:11" x14ac:dyDescent="0.25">
      <c r="A83" t="s">
        <v>3</v>
      </c>
      <c r="B83">
        <v>16</v>
      </c>
      <c r="C83">
        <v>24</v>
      </c>
      <c r="D83" s="1">
        <v>200</v>
      </c>
      <c r="E83" s="1">
        <f t="shared" si="6"/>
        <v>3200</v>
      </c>
      <c r="F83" s="1">
        <f t="shared" si="7"/>
        <v>4800</v>
      </c>
      <c r="G83" t="s">
        <v>79</v>
      </c>
      <c r="H83">
        <f>AVERAGE(Table16[[#This Row],[Low*]:[High*]])</f>
        <v>20</v>
      </c>
    </row>
    <row r="87" spans="1:11" x14ac:dyDescent="0.25">
      <c r="A87" s="2" t="s">
        <v>16</v>
      </c>
      <c r="C87" t="s">
        <v>7</v>
      </c>
    </row>
    <row r="88" spans="1:11" x14ac:dyDescent="0.25">
      <c r="A88" t="s">
        <v>1</v>
      </c>
      <c r="B88" t="s">
        <v>8</v>
      </c>
      <c r="C88" t="s">
        <v>9</v>
      </c>
      <c r="D88" t="s">
        <v>2</v>
      </c>
      <c r="E88" t="s">
        <v>4</v>
      </c>
      <c r="F88" t="s">
        <v>5</v>
      </c>
      <c r="G88" t="s">
        <v>6</v>
      </c>
      <c r="H88" t="s">
        <v>99</v>
      </c>
      <c r="J88" t="s">
        <v>32</v>
      </c>
      <c r="K88" s="4">
        <f>AVERAGE(Table17[Low*])</f>
        <v>44.833333333333336</v>
      </c>
    </row>
    <row r="89" spans="1:11" x14ac:dyDescent="0.25">
      <c r="A89" t="s">
        <v>3</v>
      </c>
      <c r="B89">
        <v>28</v>
      </c>
      <c r="C89">
        <v>60</v>
      </c>
      <c r="D89" s="1">
        <v>150</v>
      </c>
      <c r="E89" s="1">
        <f t="shared" ref="E89:E100" si="8">SUM(B89*D89)</f>
        <v>4200</v>
      </c>
      <c r="F89" s="1">
        <f t="shared" ref="F89:F100" si="9">SUM(C89*D89)</f>
        <v>9000</v>
      </c>
      <c r="G89" t="s">
        <v>67</v>
      </c>
      <c r="H89">
        <f>AVERAGE(Table17[[#This Row],[Low*]:[High*]])</f>
        <v>44</v>
      </c>
      <c r="J89" t="s">
        <v>33</v>
      </c>
      <c r="K89" s="4">
        <f>AVERAGE(Table17[High*])</f>
        <v>62.083333333333336</v>
      </c>
    </row>
    <row r="90" spans="1:11" x14ac:dyDescent="0.25">
      <c r="A90" t="s">
        <v>3</v>
      </c>
      <c r="B90">
        <v>34</v>
      </c>
      <c r="C90">
        <v>41</v>
      </c>
      <c r="D90" s="1">
        <v>120</v>
      </c>
      <c r="E90" s="1">
        <f t="shared" si="8"/>
        <v>4080</v>
      </c>
      <c r="F90" s="1">
        <f t="shared" si="9"/>
        <v>4920</v>
      </c>
      <c r="G90" t="s">
        <v>68</v>
      </c>
      <c r="H90">
        <f>AVERAGE(Table17[[#This Row],[Low*]:[High*]])</f>
        <v>37.5</v>
      </c>
      <c r="J90" t="s">
        <v>99</v>
      </c>
      <c r="K90" s="14">
        <f>AVERAGE(Table17[Hour Average])</f>
        <v>53.458333333333336</v>
      </c>
    </row>
    <row r="91" spans="1:11" x14ac:dyDescent="0.25">
      <c r="A91" t="s">
        <v>3</v>
      </c>
      <c r="B91">
        <v>60</v>
      </c>
      <c r="C91">
        <v>80</v>
      </c>
      <c r="D91" s="1">
        <v>150</v>
      </c>
      <c r="E91" s="1">
        <f t="shared" si="8"/>
        <v>9000</v>
      </c>
      <c r="F91" s="1">
        <f t="shared" si="9"/>
        <v>12000</v>
      </c>
      <c r="G91" t="s">
        <v>69</v>
      </c>
      <c r="H91">
        <f>AVERAGE(Table17[[#This Row],[Low*]:[High*]])</f>
        <v>70</v>
      </c>
      <c r="J91" t="s">
        <v>34</v>
      </c>
      <c r="K91" s="1">
        <f>AVERAGE(Table17[Rate])</f>
        <v>157.91666666666666</v>
      </c>
    </row>
    <row r="92" spans="1:11" x14ac:dyDescent="0.25">
      <c r="A92" t="s">
        <v>3</v>
      </c>
      <c r="B92">
        <v>68</v>
      </c>
      <c r="C92">
        <v>96</v>
      </c>
      <c r="D92" s="1">
        <v>165</v>
      </c>
      <c r="E92" s="1">
        <f t="shared" si="8"/>
        <v>11220</v>
      </c>
      <c r="F92" s="1">
        <f t="shared" si="9"/>
        <v>15840</v>
      </c>
      <c r="G92" t="s">
        <v>70</v>
      </c>
      <c r="H92">
        <f>AVERAGE(Table17[[#This Row],[Low*]:[High*]])</f>
        <v>82</v>
      </c>
      <c r="J92" t="s">
        <v>35</v>
      </c>
      <c r="K92" s="1">
        <f>AVERAGE(Table17[Low Total])</f>
        <v>7080</v>
      </c>
    </row>
    <row r="93" spans="1:11" x14ac:dyDescent="0.25">
      <c r="A93" t="s">
        <v>3</v>
      </c>
      <c r="B93">
        <v>56</v>
      </c>
      <c r="C93">
        <v>64</v>
      </c>
      <c r="D93" s="1">
        <v>150</v>
      </c>
      <c r="E93" s="1">
        <f t="shared" si="8"/>
        <v>8400</v>
      </c>
      <c r="F93" s="1">
        <f t="shared" si="9"/>
        <v>9600</v>
      </c>
      <c r="G93" t="s">
        <v>71</v>
      </c>
      <c r="H93">
        <f>AVERAGE(Table17[[#This Row],[Low*]:[High*]])</f>
        <v>60</v>
      </c>
      <c r="J93" t="s">
        <v>36</v>
      </c>
      <c r="K93" s="1">
        <f>AVERAGE(Table17[High Total])</f>
        <v>9853.3333333333339</v>
      </c>
    </row>
    <row r="94" spans="1:11" x14ac:dyDescent="0.25">
      <c r="A94" t="s">
        <v>3</v>
      </c>
      <c r="B94">
        <v>32</v>
      </c>
      <c r="C94">
        <v>48</v>
      </c>
      <c r="D94" s="1">
        <v>175</v>
      </c>
      <c r="E94" s="1">
        <f t="shared" si="8"/>
        <v>5600</v>
      </c>
      <c r="F94" s="1">
        <f t="shared" si="9"/>
        <v>8400</v>
      </c>
      <c r="G94" t="s">
        <v>72</v>
      </c>
      <c r="H94">
        <f>AVERAGE(Table17[[#This Row],[Low*]:[High*]])</f>
        <v>40</v>
      </c>
    </row>
    <row r="95" spans="1:11" x14ac:dyDescent="0.25">
      <c r="A95" t="s">
        <v>3</v>
      </c>
      <c r="B95">
        <v>40</v>
      </c>
      <c r="C95">
        <v>60</v>
      </c>
      <c r="D95" s="1">
        <v>150</v>
      </c>
      <c r="E95" s="1">
        <f t="shared" si="8"/>
        <v>6000</v>
      </c>
      <c r="F95" s="1">
        <f t="shared" si="9"/>
        <v>9000</v>
      </c>
      <c r="G95" t="s">
        <v>73</v>
      </c>
      <c r="H95">
        <f>AVERAGE(Table17[[#This Row],[Low*]:[High*]])</f>
        <v>50</v>
      </c>
    </row>
    <row r="96" spans="1:11" x14ac:dyDescent="0.25">
      <c r="A96" t="s">
        <v>3</v>
      </c>
      <c r="B96">
        <v>40</v>
      </c>
      <c r="C96">
        <v>60</v>
      </c>
      <c r="D96" s="1">
        <v>135</v>
      </c>
      <c r="E96" s="1">
        <f t="shared" si="8"/>
        <v>5400</v>
      </c>
      <c r="F96" s="1">
        <f t="shared" si="9"/>
        <v>8100</v>
      </c>
      <c r="G96" t="s">
        <v>74</v>
      </c>
      <c r="H96">
        <f>AVERAGE(Table17[[#This Row],[Low*]:[High*]])</f>
        <v>50</v>
      </c>
    </row>
    <row r="97" spans="1:11" x14ac:dyDescent="0.25">
      <c r="A97" t="s">
        <v>3</v>
      </c>
      <c r="B97">
        <v>80</v>
      </c>
      <c r="C97">
        <v>80</v>
      </c>
      <c r="D97" s="1">
        <v>165</v>
      </c>
      <c r="E97" s="1">
        <f t="shared" si="8"/>
        <v>13200</v>
      </c>
      <c r="F97" s="1">
        <f t="shared" si="9"/>
        <v>13200</v>
      </c>
      <c r="G97" t="s">
        <v>75</v>
      </c>
      <c r="H97">
        <f>AVERAGE(Table17[[#This Row],[Low*]:[High*]])</f>
        <v>80</v>
      </c>
    </row>
    <row r="98" spans="1:11" x14ac:dyDescent="0.25">
      <c r="A98" t="s">
        <v>3</v>
      </c>
      <c r="B98">
        <v>36</v>
      </c>
      <c r="C98">
        <v>68</v>
      </c>
      <c r="D98" s="1">
        <v>185</v>
      </c>
      <c r="E98" s="1">
        <f t="shared" si="8"/>
        <v>6660</v>
      </c>
      <c r="F98" s="1">
        <f t="shared" si="9"/>
        <v>12580</v>
      </c>
      <c r="G98" t="s">
        <v>76</v>
      </c>
      <c r="H98">
        <f>AVERAGE(Table17[[#This Row],[Low*]:[High*]])</f>
        <v>52</v>
      </c>
    </row>
    <row r="99" spans="1:11" x14ac:dyDescent="0.25">
      <c r="A99" t="s">
        <v>3</v>
      </c>
      <c r="B99">
        <v>32</v>
      </c>
      <c r="C99">
        <v>40</v>
      </c>
      <c r="D99" s="1">
        <v>150</v>
      </c>
      <c r="E99" s="1">
        <f t="shared" si="8"/>
        <v>4800</v>
      </c>
      <c r="F99" s="1">
        <f t="shared" si="9"/>
        <v>6000</v>
      </c>
      <c r="G99" t="s">
        <v>77</v>
      </c>
      <c r="H99">
        <f>AVERAGE(Table17[[#This Row],[Low*]:[High*]])</f>
        <v>36</v>
      </c>
    </row>
    <row r="100" spans="1:11" x14ac:dyDescent="0.25">
      <c r="A100" t="s">
        <v>3</v>
      </c>
      <c r="B100">
        <v>32</v>
      </c>
      <c r="C100">
        <v>48</v>
      </c>
      <c r="D100" s="1">
        <v>200</v>
      </c>
      <c r="E100" s="1">
        <f t="shared" si="8"/>
        <v>6400</v>
      </c>
      <c r="F100" s="1">
        <f t="shared" si="9"/>
        <v>9600</v>
      </c>
      <c r="G100" t="s">
        <v>79</v>
      </c>
      <c r="H100">
        <f>AVERAGE(Table17[[#This Row],[Low*]:[High*]])</f>
        <v>40</v>
      </c>
    </row>
    <row r="101" spans="1:11" x14ac:dyDescent="0.25">
      <c r="E101" s="1"/>
      <c r="F101" s="1"/>
    </row>
    <row r="103" spans="1:11" x14ac:dyDescent="0.25">
      <c r="A103" s="2" t="s">
        <v>17</v>
      </c>
      <c r="C103" t="s">
        <v>7</v>
      </c>
      <c r="F103" t="s">
        <v>42</v>
      </c>
    </row>
    <row r="104" spans="1:11" x14ac:dyDescent="0.25">
      <c r="A104" t="s">
        <v>1</v>
      </c>
      <c r="B104" t="s">
        <v>8</v>
      </c>
      <c r="C104" t="s">
        <v>9</v>
      </c>
      <c r="D104" t="s">
        <v>2</v>
      </c>
      <c r="E104" t="s">
        <v>4</v>
      </c>
      <c r="F104" t="s">
        <v>5</v>
      </c>
      <c r="G104" t="s">
        <v>6</v>
      </c>
      <c r="H104" t="s">
        <v>12</v>
      </c>
      <c r="J104" t="s">
        <v>32</v>
      </c>
      <c r="K104" s="4">
        <f>AVERAGE(Table178[Low*])</f>
        <v>2.25</v>
      </c>
    </row>
    <row r="105" spans="1:11" x14ac:dyDescent="0.25">
      <c r="A105" t="s">
        <v>3</v>
      </c>
      <c r="B105">
        <v>2</v>
      </c>
      <c r="C105">
        <v>6</v>
      </c>
      <c r="D105" s="1">
        <v>150</v>
      </c>
      <c r="E105" s="1">
        <f>SUM(B105*D105)</f>
        <v>300</v>
      </c>
      <c r="F105" s="1">
        <f>SUM(C105*D105)</f>
        <v>900</v>
      </c>
      <c r="G105">
        <v>1</v>
      </c>
      <c r="J105" t="s">
        <v>33</v>
      </c>
      <c r="K105" s="4">
        <f>AVERAGE(Table178[High*])</f>
        <v>4</v>
      </c>
    </row>
    <row r="106" spans="1:11" x14ac:dyDescent="0.25">
      <c r="A106" t="s">
        <v>3</v>
      </c>
      <c r="B106">
        <v>2</v>
      </c>
      <c r="C106">
        <v>4</v>
      </c>
      <c r="D106" s="1">
        <v>85</v>
      </c>
      <c r="E106" s="1">
        <f>SUM(B106*D106)</f>
        <v>170</v>
      </c>
      <c r="F106" s="1">
        <f>SUM(C106*D106)</f>
        <v>340</v>
      </c>
      <c r="G106">
        <v>2</v>
      </c>
      <c r="J106" t="s">
        <v>34</v>
      </c>
      <c r="K106" s="1">
        <f>AVERAGE(Table178[Rate])</f>
        <v>152.5</v>
      </c>
    </row>
    <row r="107" spans="1:11" x14ac:dyDescent="0.25">
      <c r="A107" t="s">
        <v>3</v>
      </c>
      <c r="B107">
        <v>4</v>
      </c>
      <c r="C107">
        <v>4</v>
      </c>
      <c r="D107" s="1">
        <v>175</v>
      </c>
      <c r="E107" s="1">
        <f>SUM(B107*D107)</f>
        <v>700</v>
      </c>
      <c r="F107" s="1">
        <f>SUM(C107*D107)</f>
        <v>700</v>
      </c>
      <c r="G107">
        <v>6</v>
      </c>
      <c r="J107" t="s">
        <v>35</v>
      </c>
      <c r="K107" s="1">
        <f>AVERAGE(Table178[Low Total])</f>
        <v>342.5</v>
      </c>
    </row>
    <row r="108" spans="1:11" x14ac:dyDescent="0.25">
      <c r="A108" t="s">
        <v>3</v>
      </c>
      <c r="B108">
        <v>1</v>
      </c>
      <c r="C108">
        <v>2</v>
      </c>
      <c r="D108" s="1">
        <v>200</v>
      </c>
      <c r="E108" s="1">
        <f>SUM(B108*D108)</f>
        <v>200</v>
      </c>
      <c r="F108" s="1">
        <f>SUM(C108*D108)</f>
        <v>400</v>
      </c>
      <c r="G108">
        <v>13</v>
      </c>
      <c r="J108" t="s">
        <v>36</v>
      </c>
      <c r="K108" s="1">
        <f>AVERAGE(Table178[High Total])</f>
        <v>585</v>
      </c>
    </row>
    <row r="111" spans="1:11" x14ac:dyDescent="0.25">
      <c r="A111" s="2" t="s">
        <v>18</v>
      </c>
      <c r="C111" t="s">
        <v>7</v>
      </c>
      <c r="F111" t="s">
        <v>42</v>
      </c>
    </row>
    <row r="112" spans="1:11" x14ac:dyDescent="0.25">
      <c r="A112" t="s">
        <v>1</v>
      </c>
      <c r="B112" t="s">
        <v>8</v>
      </c>
      <c r="C112" t="s">
        <v>9</v>
      </c>
      <c r="D112" t="s">
        <v>2</v>
      </c>
      <c r="E112" t="s">
        <v>4</v>
      </c>
      <c r="F112" t="s">
        <v>5</v>
      </c>
      <c r="G112" t="s">
        <v>6</v>
      </c>
      <c r="H112" t="s">
        <v>12</v>
      </c>
      <c r="J112" t="s">
        <v>32</v>
      </c>
      <c r="K112" s="4">
        <f>AVERAGE(Table1789[Low*])</f>
        <v>1.75</v>
      </c>
    </row>
    <row r="113" spans="1:11" x14ac:dyDescent="0.25">
      <c r="A113" t="s">
        <v>3</v>
      </c>
      <c r="B113">
        <v>2</v>
      </c>
      <c r="C113">
        <v>3</v>
      </c>
      <c r="D113" s="1">
        <v>150</v>
      </c>
      <c r="E113" s="1">
        <f t="shared" ref="E113:E118" si="10">SUM(B113*D113)</f>
        <v>300</v>
      </c>
      <c r="F113" s="1">
        <f t="shared" ref="F113:F118" si="11">SUM(C113*D113)</f>
        <v>450</v>
      </c>
      <c r="G113">
        <v>1</v>
      </c>
      <c r="J113" t="s">
        <v>33</v>
      </c>
      <c r="K113" s="4">
        <f>AVERAGE(Table1789[High*])</f>
        <v>3.1666666666666665</v>
      </c>
    </row>
    <row r="114" spans="1:11" x14ac:dyDescent="0.25">
      <c r="A114" t="s">
        <v>3</v>
      </c>
      <c r="B114">
        <v>4</v>
      </c>
      <c r="C114">
        <v>5</v>
      </c>
      <c r="D114" s="1">
        <v>85</v>
      </c>
      <c r="E114" s="1">
        <f t="shared" si="10"/>
        <v>340</v>
      </c>
      <c r="F114" s="1">
        <f t="shared" si="11"/>
        <v>425</v>
      </c>
      <c r="G114">
        <v>2</v>
      </c>
      <c r="J114" t="s">
        <v>34</v>
      </c>
      <c r="K114" s="1">
        <f>AVERAGE(Table1789[Rate])</f>
        <v>151.66666666666666</v>
      </c>
    </row>
    <row r="115" spans="1:11" x14ac:dyDescent="0.25">
      <c r="A115" t="s">
        <v>3</v>
      </c>
      <c r="B115">
        <v>2</v>
      </c>
      <c r="C115">
        <v>4</v>
      </c>
      <c r="D115" s="1">
        <v>150</v>
      </c>
      <c r="E115" s="1">
        <f t="shared" si="10"/>
        <v>300</v>
      </c>
      <c r="F115" s="1">
        <f t="shared" si="11"/>
        <v>600</v>
      </c>
      <c r="G115">
        <v>3</v>
      </c>
      <c r="J115" t="s">
        <v>35</v>
      </c>
      <c r="K115" s="1">
        <f>AVERAGE(Table1789[Low Total])</f>
        <v>231.66666666666666</v>
      </c>
    </row>
    <row r="116" spans="1:11" x14ac:dyDescent="0.25">
      <c r="A116" t="s">
        <v>3</v>
      </c>
      <c r="B116">
        <v>0.5</v>
      </c>
      <c r="C116">
        <v>4</v>
      </c>
      <c r="D116" s="1">
        <v>150</v>
      </c>
      <c r="E116" s="1">
        <f t="shared" si="10"/>
        <v>75</v>
      </c>
      <c r="F116" s="1">
        <f t="shared" si="11"/>
        <v>600</v>
      </c>
      <c r="G116">
        <v>5</v>
      </c>
      <c r="J116" t="s">
        <v>36</v>
      </c>
      <c r="K116" s="1">
        <f>AVERAGE(Table1789[High Total])</f>
        <v>437.5</v>
      </c>
    </row>
    <row r="117" spans="1:11" x14ac:dyDescent="0.25">
      <c r="A117" t="s">
        <v>3</v>
      </c>
      <c r="B117">
        <v>1</v>
      </c>
      <c r="C117">
        <v>2</v>
      </c>
      <c r="D117" s="1">
        <v>175</v>
      </c>
      <c r="E117" s="1">
        <f t="shared" si="10"/>
        <v>175</v>
      </c>
      <c r="F117" s="1">
        <f t="shared" si="11"/>
        <v>350</v>
      </c>
      <c r="G117">
        <v>6</v>
      </c>
    </row>
    <row r="118" spans="1:11" x14ac:dyDescent="0.25">
      <c r="A118" t="s">
        <v>3</v>
      </c>
      <c r="B118">
        <v>1</v>
      </c>
      <c r="C118">
        <v>1</v>
      </c>
      <c r="D118" s="1">
        <v>200</v>
      </c>
      <c r="E118" s="1">
        <f t="shared" si="10"/>
        <v>200</v>
      </c>
      <c r="F118" s="1">
        <f t="shared" si="11"/>
        <v>200</v>
      </c>
      <c r="G118">
        <v>13</v>
      </c>
    </row>
    <row r="120" spans="1:11" x14ac:dyDescent="0.25">
      <c r="A120" s="2" t="s">
        <v>19</v>
      </c>
      <c r="C120" t="s">
        <v>7</v>
      </c>
    </row>
    <row r="121" spans="1:11" x14ac:dyDescent="0.25">
      <c r="A121" t="s">
        <v>1</v>
      </c>
      <c r="B121" t="s">
        <v>8</v>
      </c>
      <c r="C121" t="s">
        <v>9</v>
      </c>
      <c r="D121" t="s">
        <v>2</v>
      </c>
      <c r="E121" t="s">
        <v>4</v>
      </c>
      <c r="F121" t="s">
        <v>5</v>
      </c>
      <c r="G121" t="s">
        <v>6</v>
      </c>
      <c r="H121" t="s">
        <v>12</v>
      </c>
      <c r="J121" t="s">
        <v>32</v>
      </c>
      <c r="K121" s="4">
        <f>AVERAGE(Table17891011[Low*])</f>
        <v>5</v>
      </c>
    </row>
    <row r="122" spans="1:11" x14ac:dyDescent="0.25">
      <c r="A122" t="s">
        <v>3</v>
      </c>
      <c r="B122">
        <v>4</v>
      </c>
      <c r="C122">
        <v>8</v>
      </c>
      <c r="D122" s="1">
        <v>150</v>
      </c>
      <c r="E122" s="1">
        <f>SUM(B122*D122)</f>
        <v>600</v>
      </c>
      <c r="F122" s="1">
        <f>SUM(C122*D122)</f>
        <v>1200</v>
      </c>
      <c r="G122">
        <v>1</v>
      </c>
      <c r="J122" t="s">
        <v>33</v>
      </c>
      <c r="K122" s="4">
        <f>AVERAGE(Table17891011[High*])</f>
        <v>11.5</v>
      </c>
    </row>
    <row r="123" spans="1:11" x14ac:dyDescent="0.25">
      <c r="A123" t="s">
        <v>3</v>
      </c>
      <c r="B123">
        <v>6</v>
      </c>
      <c r="C123">
        <v>12</v>
      </c>
      <c r="D123" s="1">
        <v>120</v>
      </c>
      <c r="E123" s="1">
        <f>SUM(B123*D123)</f>
        <v>720</v>
      </c>
      <c r="F123" s="1">
        <f>SUM(C123*D123)</f>
        <v>1440</v>
      </c>
      <c r="G123">
        <v>2</v>
      </c>
      <c r="J123" t="s">
        <v>34</v>
      </c>
      <c r="K123" s="1">
        <f>AVERAGE(Table17891011[Rate])</f>
        <v>157.5</v>
      </c>
    </row>
    <row r="124" spans="1:11" x14ac:dyDescent="0.25">
      <c r="A124" t="s">
        <v>3</v>
      </c>
      <c r="B124">
        <v>4</v>
      </c>
      <c r="C124">
        <v>16</v>
      </c>
      <c r="D124" s="1">
        <v>175</v>
      </c>
      <c r="E124" s="1">
        <f>SUM(B124*D124)</f>
        <v>700</v>
      </c>
      <c r="F124" s="1">
        <f>SUM(C124*D124)</f>
        <v>2800</v>
      </c>
      <c r="G124">
        <v>6</v>
      </c>
      <c r="J124" t="s">
        <v>35</v>
      </c>
      <c r="K124" s="1">
        <f>AVERAGE(Table17891011[Low Total])</f>
        <v>782.5</v>
      </c>
    </row>
    <row r="125" spans="1:11" x14ac:dyDescent="0.25">
      <c r="A125" t="s">
        <v>3</v>
      </c>
      <c r="B125">
        <v>6</v>
      </c>
      <c r="C125">
        <v>10</v>
      </c>
      <c r="D125" s="1">
        <v>185</v>
      </c>
      <c r="E125" s="1">
        <f>SUM(B125*D125)</f>
        <v>1110</v>
      </c>
      <c r="F125" s="1">
        <f>SUM(C125*D125)</f>
        <v>1850</v>
      </c>
      <c r="G125">
        <v>10</v>
      </c>
      <c r="J125" t="s">
        <v>36</v>
      </c>
      <c r="K125" s="1">
        <f>AVERAGE(Table17891011[High Total])</f>
        <v>1822.5</v>
      </c>
    </row>
    <row r="128" spans="1:11" x14ac:dyDescent="0.25">
      <c r="A128" s="2" t="s">
        <v>20</v>
      </c>
      <c r="C128" t="s">
        <v>7</v>
      </c>
    </row>
    <row r="129" spans="1:11" x14ac:dyDescent="0.25">
      <c r="A129" t="s">
        <v>1</v>
      </c>
      <c r="B129" t="s">
        <v>8</v>
      </c>
      <c r="C129" t="s">
        <v>9</v>
      </c>
      <c r="D129" t="s">
        <v>2</v>
      </c>
      <c r="E129" t="s">
        <v>4</v>
      </c>
      <c r="F129" t="s">
        <v>5</v>
      </c>
      <c r="G129" t="s">
        <v>6</v>
      </c>
      <c r="H129" t="s">
        <v>12</v>
      </c>
      <c r="J129" t="s">
        <v>32</v>
      </c>
      <c r="K129" s="4">
        <f>AVERAGE(Table17891011[Low*])</f>
        <v>5</v>
      </c>
    </row>
    <row r="130" spans="1:11" x14ac:dyDescent="0.25">
      <c r="A130" t="s">
        <v>3</v>
      </c>
      <c r="B130">
        <v>16</v>
      </c>
      <c r="C130">
        <v>24</v>
      </c>
      <c r="D130" s="1">
        <v>175</v>
      </c>
      <c r="E130" s="1">
        <f>SUM(B130*D130)</f>
        <v>2800</v>
      </c>
      <c r="F130" s="1">
        <f>SUM(C130*D130)</f>
        <v>4200</v>
      </c>
      <c r="G130">
        <v>6</v>
      </c>
      <c r="J130" t="s">
        <v>33</v>
      </c>
      <c r="K130" s="4">
        <f>AVERAGE(Table17891011[High*])</f>
        <v>11.5</v>
      </c>
    </row>
    <row r="131" spans="1:11" x14ac:dyDescent="0.25">
      <c r="A131" t="s">
        <v>3</v>
      </c>
      <c r="B131">
        <v>8</v>
      </c>
      <c r="C131">
        <v>8</v>
      </c>
      <c r="D131" s="1">
        <v>150</v>
      </c>
      <c r="E131" s="1">
        <f>SUM(B131*D131)</f>
        <v>1200</v>
      </c>
      <c r="F131" s="1">
        <f>SUM(C131*D131)</f>
        <v>1200</v>
      </c>
      <c r="G131">
        <v>7</v>
      </c>
      <c r="J131" t="s">
        <v>34</v>
      </c>
      <c r="K131" s="1">
        <f>AVERAGE(Table17891011[Rate])</f>
        <v>157.5</v>
      </c>
    </row>
    <row r="132" spans="1:11" x14ac:dyDescent="0.25">
      <c r="A132" t="s">
        <v>3</v>
      </c>
      <c r="B132">
        <v>8</v>
      </c>
      <c r="C132">
        <v>16</v>
      </c>
      <c r="D132" s="1">
        <v>200</v>
      </c>
      <c r="E132" s="1">
        <f>SUM(B132*D132)</f>
        <v>1600</v>
      </c>
      <c r="F132" s="1">
        <f>SUM(C132*D132)</f>
        <v>3200</v>
      </c>
      <c r="G132">
        <v>13</v>
      </c>
      <c r="J132" t="s">
        <v>35</v>
      </c>
      <c r="K132" s="1">
        <f>AVERAGE(Table17891011[Low Total])</f>
        <v>782.5</v>
      </c>
    </row>
    <row r="133" spans="1:11" x14ac:dyDescent="0.25">
      <c r="J133" t="s">
        <v>36</v>
      </c>
      <c r="K133" s="1">
        <f>AVERAGE(Table17891011[High Total])</f>
        <v>1822.5</v>
      </c>
    </row>
  </sheetData>
  <mergeCells count="11">
    <mergeCell ref="A13:H13"/>
    <mergeCell ref="A14:H14"/>
    <mergeCell ref="A12:H12"/>
    <mergeCell ref="A4:H4"/>
    <mergeCell ref="A5:H5"/>
    <mergeCell ref="A6:H6"/>
    <mergeCell ref="A7:H7"/>
    <mergeCell ref="A8:H8"/>
    <mergeCell ref="A9:H9"/>
    <mergeCell ref="A10:H10"/>
    <mergeCell ref="A11:H11"/>
  </mergeCells>
  <pageMargins left="0.7" right="0.7" top="0.75" bottom="0.75" header="0.3" footer="0.3"/>
  <pageSetup orientation="portrait" horizontalDpi="300" verticalDpi="0" copies="0" r:id="rId1"/>
  <drawing r:id="rId2"/>
  <tableParts count="9">
    <tablePart r:id="rId3"/>
    <tablePart r:id="rId4"/>
    <tablePart r:id="rId5"/>
    <tablePart r:id="rId6"/>
    <tablePart r:id="rId7"/>
    <tablePart r:id="rId8"/>
    <tablePart r:id="rId9"/>
    <tablePart r:id="rId10"/>
    <tablePart r:id="rId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90"/>
  <sheetViews>
    <sheetView topLeftCell="I323" zoomScale="90" zoomScaleNormal="90" workbookViewId="0">
      <selection activeCell="Q358" sqref="Q358"/>
    </sheetView>
  </sheetViews>
  <sheetFormatPr defaultRowHeight="15" x14ac:dyDescent="0.25"/>
  <cols>
    <col min="1" max="1" width="67.140625" customWidth="1"/>
    <col min="2" max="2" width="26.42578125" customWidth="1"/>
    <col min="3" max="3" width="36" customWidth="1"/>
    <col min="4" max="4" width="15.140625" customWidth="1"/>
    <col min="5" max="5" width="13.5703125" bestFit="1" customWidth="1"/>
    <col min="6" max="6" width="22.42578125" bestFit="1" customWidth="1"/>
    <col min="7" max="7" width="40.5703125" bestFit="1" customWidth="1"/>
    <col min="8" max="8" width="16.7109375" customWidth="1"/>
    <col min="9" max="9" width="14.42578125" bestFit="1" customWidth="1"/>
    <col min="10" max="10" width="14.7109375" bestFit="1" customWidth="1"/>
    <col min="11" max="11" width="22.42578125" customWidth="1"/>
    <col min="12" max="12" width="16.85546875" customWidth="1"/>
    <col min="13" max="13" width="32.85546875" bestFit="1" customWidth="1"/>
    <col min="14" max="14" width="25.85546875" bestFit="1" customWidth="1"/>
    <col min="15" max="15" width="26.28515625" bestFit="1" customWidth="1"/>
    <col min="16" max="16" width="34.140625" bestFit="1" customWidth="1"/>
    <col min="17" max="17" width="32.140625" customWidth="1"/>
    <col min="18" max="18" width="22.85546875" bestFit="1" customWidth="1"/>
    <col min="19" max="19" width="26" customWidth="1"/>
    <col min="20" max="20" width="17" customWidth="1"/>
    <col min="21" max="21" width="14.85546875" customWidth="1"/>
    <col min="22" max="22" width="32.28515625" bestFit="1" customWidth="1"/>
    <col min="23" max="24" width="32.28515625" customWidth="1"/>
    <col min="25" max="25" width="25.5703125" bestFit="1" customWidth="1"/>
    <col min="26" max="27" width="25.5703125" customWidth="1"/>
    <col min="28" max="28" width="27.7109375" bestFit="1" customWidth="1"/>
    <col min="29" max="30" width="27.7109375" customWidth="1"/>
    <col min="31" max="31" width="25.5703125" bestFit="1" customWidth="1"/>
    <col min="32" max="33" width="25.5703125" customWidth="1"/>
    <col min="34" max="34" width="25.28515625" bestFit="1" customWidth="1"/>
    <col min="35" max="35" width="15" customWidth="1"/>
    <col min="36" max="36" width="15.7109375" customWidth="1"/>
    <col min="37" max="37" width="33.5703125" customWidth="1"/>
    <col min="38" max="38" width="23.140625" customWidth="1"/>
    <col min="39" max="39" width="23.5703125" customWidth="1"/>
    <col min="40" max="40" width="37.85546875" customWidth="1"/>
    <col min="41" max="41" width="27.5703125" customWidth="1"/>
    <col min="42" max="42" width="28" customWidth="1"/>
    <col min="43" max="43" width="38.140625" customWidth="1"/>
    <col min="44" max="44" width="27.85546875" customWidth="1"/>
    <col min="45" max="45" width="28.28515625" customWidth="1"/>
  </cols>
  <sheetData>
    <row r="1" spans="1:45" ht="18.75" x14ac:dyDescent="0.3">
      <c r="A1" s="54" t="s">
        <v>66</v>
      </c>
    </row>
    <row r="3" spans="1:45" ht="15.75" thickBot="1" x14ac:dyDescent="0.3">
      <c r="A3" s="2" t="s">
        <v>272</v>
      </c>
    </row>
    <row r="4" spans="1:45" x14ac:dyDescent="0.25">
      <c r="B4" s="27" t="s">
        <v>3</v>
      </c>
      <c r="C4" s="22"/>
      <c r="D4" s="15"/>
      <c r="E4" s="27" t="s">
        <v>90</v>
      </c>
      <c r="F4" s="15"/>
      <c r="G4" s="2" t="s">
        <v>103</v>
      </c>
      <c r="I4" s="27" t="s">
        <v>264</v>
      </c>
      <c r="J4" s="22"/>
      <c r="K4" s="22"/>
      <c r="L4" s="22"/>
      <c r="M4" s="37" t="s">
        <v>273</v>
      </c>
      <c r="N4" s="22"/>
      <c r="O4" s="22"/>
      <c r="P4" s="38" t="s">
        <v>183</v>
      </c>
      <c r="Q4" s="22"/>
      <c r="R4" s="15"/>
      <c r="S4" t="s">
        <v>201</v>
      </c>
      <c r="V4" s="40" t="s">
        <v>206</v>
      </c>
      <c r="W4" s="41"/>
      <c r="X4" s="23"/>
      <c r="Y4" t="s">
        <v>207</v>
      </c>
      <c r="AB4" s="40" t="s">
        <v>208</v>
      </c>
      <c r="AC4" s="41"/>
      <c r="AD4" s="23"/>
      <c r="AE4" t="s">
        <v>209</v>
      </c>
      <c r="AH4" s="27" t="s">
        <v>342</v>
      </c>
      <c r="AI4" s="22"/>
      <c r="AJ4" s="22"/>
      <c r="AK4" s="37" t="s">
        <v>343</v>
      </c>
      <c r="AL4" s="22"/>
      <c r="AM4" s="22"/>
      <c r="AN4" s="38" t="s">
        <v>183</v>
      </c>
      <c r="AO4" s="22"/>
      <c r="AP4" s="15"/>
      <c r="AQ4" t="s">
        <v>201</v>
      </c>
    </row>
    <row r="5" spans="1:45" x14ac:dyDescent="0.25">
      <c r="A5" t="s">
        <v>85</v>
      </c>
      <c r="B5" s="16" t="s">
        <v>81</v>
      </c>
      <c r="C5" s="23" t="s">
        <v>82</v>
      </c>
      <c r="D5" s="17" t="s">
        <v>83</v>
      </c>
      <c r="E5" s="16" t="s">
        <v>90</v>
      </c>
      <c r="F5" s="17" t="s">
        <v>102</v>
      </c>
      <c r="G5" t="s">
        <v>91</v>
      </c>
      <c r="H5" t="s">
        <v>104</v>
      </c>
      <c r="I5" s="16" t="s">
        <v>94</v>
      </c>
      <c r="J5" s="23" t="s">
        <v>95</v>
      </c>
      <c r="K5" s="23" t="s">
        <v>97</v>
      </c>
      <c r="L5" s="23" t="s">
        <v>93</v>
      </c>
      <c r="M5" s="39" t="s">
        <v>112</v>
      </c>
      <c r="N5" s="28" t="s">
        <v>113</v>
      </c>
      <c r="O5" s="28" t="s">
        <v>114</v>
      </c>
      <c r="P5" s="23" t="s">
        <v>185</v>
      </c>
      <c r="Q5" s="28" t="s">
        <v>186</v>
      </c>
      <c r="R5" s="29" t="s">
        <v>187</v>
      </c>
      <c r="S5" s="23" t="s">
        <v>202</v>
      </c>
      <c r="T5" s="28" t="s">
        <v>203</v>
      </c>
      <c r="U5" s="28" t="s">
        <v>204</v>
      </c>
      <c r="V5" s="42" t="s">
        <v>210</v>
      </c>
      <c r="W5" s="43" t="s">
        <v>264</v>
      </c>
      <c r="X5" s="23" t="s">
        <v>342</v>
      </c>
      <c r="Y5" t="s">
        <v>211</v>
      </c>
      <c r="Z5" t="s">
        <v>274</v>
      </c>
      <c r="AA5" t="s">
        <v>344</v>
      </c>
      <c r="AB5" s="42" t="s">
        <v>212</v>
      </c>
      <c r="AC5" s="43" t="s">
        <v>275</v>
      </c>
      <c r="AD5" s="23" t="s">
        <v>345</v>
      </c>
      <c r="AE5" t="s">
        <v>213</v>
      </c>
      <c r="AF5" t="s">
        <v>276</v>
      </c>
      <c r="AG5" t="s">
        <v>346</v>
      </c>
      <c r="AH5" s="23" t="s">
        <v>94</v>
      </c>
      <c r="AI5" s="23" t="s">
        <v>97</v>
      </c>
      <c r="AJ5" s="23" t="s">
        <v>93</v>
      </c>
      <c r="AK5" s="28" t="s">
        <v>112</v>
      </c>
      <c r="AL5" s="28" t="s">
        <v>113</v>
      </c>
      <c r="AM5" s="28" t="s">
        <v>114</v>
      </c>
      <c r="AN5" s="23" t="s">
        <v>185</v>
      </c>
      <c r="AO5" s="28" t="s">
        <v>186</v>
      </c>
      <c r="AP5" s="29" t="s">
        <v>187</v>
      </c>
      <c r="AQ5" s="23" t="s">
        <v>202</v>
      </c>
      <c r="AR5" s="28" t="s">
        <v>203</v>
      </c>
      <c r="AS5" s="28" t="s">
        <v>204</v>
      </c>
    </row>
    <row r="6" spans="1:45" x14ac:dyDescent="0.25">
      <c r="A6" t="s">
        <v>65</v>
      </c>
      <c r="B6" s="18">
        <f>AVERAGE(Table1[Low Total])</f>
        <v>2192.6923076923076</v>
      </c>
      <c r="C6" s="24">
        <f>AVERAGE(Table1[High Total])</f>
        <v>3546.9230769230771</v>
      </c>
      <c r="D6" s="19">
        <f>AVERAGE(B6:C6)</f>
        <v>2869.8076923076924</v>
      </c>
      <c r="E6" s="18">
        <f>'Internal Salaries'!D35</f>
        <v>17390.604000000003</v>
      </c>
      <c r="F6" s="19">
        <f>'Internal Salaries'!F35</f>
        <v>1076.4616658653845</v>
      </c>
      <c r="G6" s="1">
        <f>SUM(Table9[[#This Row],[Average]:[Internal]])</f>
        <v>20260.411692307694</v>
      </c>
      <c r="H6" s="1">
        <f>SUM(Table9[[#This Row],[Average]]+Table9[[#This Row],[Implementation]])</f>
        <v>3946.2693581730769</v>
      </c>
      <c r="I6" s="18">
        <v>1495</v>
      </c>
      <c r="J6" s="24">
        <f t="shared" ref="J6:J10" si="0">SUM(175*12)</f>
        <v>2100</v>
      </c>
      <c r="K6" s="24">
        <f>SUM(Table9[[#This Row],[Base]]+175)</f>
        <v>1670</v>
      </c>
      <c r="L6" s="24">
        <f>SUM(Table9[[#This Row],[Base]]*12+Table9[[#This Row],[AD Int]])</f>
        <v>20040</v>
      </c>
      <c r="M6" s="18">
        <f>SUM(Table9[[#This Row],[Implementation2]]-Table9[[#This Row],[Initial Month]])</f>
        <v>2276.2693581730769</v>
      </c>
      <c r="N6" s="24">
        <f>SUM(Table9[[#This Row],[Yearly]]-Table9[[#This Row],[PS and Internal]])</f>
        <v>-220.41169230769447</v>
      </c>
      <c r="O6" s="24">
        <f>SUM(Table9[[#This Row],[Yearly]]-Table9[[#This Row],[Internal]])</f>
        <v>2649.395999999997</v>
      </c>
      <c r="P6" s="18">
        <f>SUM(B22-Table9[[#This Row],[Initial Month]])</f>
        <v>7928.2693581730764</v>
      </c>
      <c r="Q6" s="24">
        <f>SUM(C22-Table9[[#This Row],[PS and Internal]])</f>
        <v>5652</v>
      </c>
      <c r="R6" s="19">
        <f>SUM(Table9[[#This Row],[Yearly]]-Table9[[#This Row],[Internal]])</f>
        <v>2649.395999999997</v>
      </c>
      <c r="S6" s="18">
        <f>SUM(D22-Table9[[#This Row],[Initial Month]])</f>
        <v>11144.036024839743</v>
      </c>
      <c r="T6" s="24">
        <f>SUM(E22-Table9[[#This Row],[PS and Internal]])</f>
        <v>8867.7666666666664</v>
      </c>
      <c r="U6" s="24">
        <f>SUM(Table9[[#This Row],[Yearly]]-Table9[[#This Row],[Internal]])</f>
        <v>2649.395999999997</v>
      </c>
      <c r="V6" s="44">
        <f>SUM(E22+Table9[[#This Row],[Internal]])</f>
        <v>46518.782358974364</v>
      </c>
      <c r="W6" s="45">
        <f>SUM(2*Table9[[#This Row],[Yearly]])</f>
        <v>40080</v>
      </c>
      <c r="X6" s="78">
        <f>SUM(2*Table45[[#This Row],[Yearly]])</f>
        <v>0</v>
      </c>
      <c r="Y6" s="1">
        <f>SUM(E22+2*Table9[[#This Row],[Internal]])</f>
        <v>63909.386358974371</v>
      </c>
      <c r="Z6" s="45">
        <f>SUM(3*Table9[[#This Row],[Yearly]])</f>
        <v>60120</v>
      </c>
      <c r="AA6" s="78">
        <f>SUM(3*Table45[[#This Row],[Yearly]])</f>
        <v>0</v>
      </c>
      <c r="AB6" s="44">
        <f>SUM(E22+3*Table9[[#This Row],[Internal]])</f>
        <v>81299.990358974363</v>
      </c>
      <c r="AC6" s="45">
        <f>SUM(4*Table9[[#This Row],[Yearly]])</f>
        <v>80160</v>
      </c>
      <c r="AD6" s="78">
        <f>SUM(4*Table45[[#This Row],[Yearly]])</f>
        <v>0</v>
      </c>
      <c r="AE6" s="1">
        <f>SUM(E22+4*Table9[[#This Row],[Internal]])</f>
        <v>98690.594358974369</v>
      </c>
      <c r="AF6" s="45">
        <f>SUM(5*Table9[[#This Row],[Yearly]])</f>
        <v>100200</v>
      </c>
      <c r="AG6" s="78">
        <f>SUM(5*Table45[[#This Row],[Yearly]])</f>
        <v>0</v>
      </c>
      <c r="AH6" s="78"/>
      <c r="AI6" s="78">
        <f>SUM(Table45[[#This Row],[Base]])</f>
        <v>0</v>
      </c>
      <c r="AJ6" s="78">
        <f>SUM(AH6*12)</f>
        <v>0</v>
      </c>
      <c r="AK6" s="78">
        <v>0</v>
      </c>
      <c r="AL6" s="78">
        <v>0</v>
      </c>
      <c r="AM6" s="78">
        <v>0</v>
      </c>
      <c r="AN6" s="79">
        <v>0</v>
      </c>
      <c r="AO6" s="78">
        <v>0</v>
      </c>
      <c r="AP6" s="80">
        <v>0</v>
      </c>
      <c r="AQ6" s="79">
        <v>0</v>
      </c>
      <c r="AR6" s="78">
        <v>0</v>
      </c>
      <c r="AS6" s="78">
        <v>0</v>
      </c>
    </row>
    <row r="7" spans="1:45" x14ac:dyDescent="0.25">
      <c r="A7" t="s">
        <v>13</v>
      </c>
      <c r="B7" s="18">
        <f>AVERAGE(Table13[Low Total])</f>
        <v>3196.1538461538462</v>
      </c>
      <c r="C7" s="24">
        <f>AVERAGE(Table13[High Total])</f>
        <v>4596.9230769230771</v>
      </c>
      <c r="D7" s="19">
        <f>AVERAGE(B7:C7)</f>
        <v>3896.5384615384619</v>
      </c>
      <c r="E7" s="18">
        <f>'Internal Salaries'!D36</f>
        <v>26085.905999999999</v>
      </c>
      <c r="F7" s="19">
        <f>'Internal Salaries'!F36</f>
        <v>1438.0691769230768</v>
      </c>
      <c r="G7" s="1">
        <f>SUM(Table9[[#This Row],[Average]:[Internal]])</f>
        <v>29982.44446153846</v>
      </c>
      <c r="H7" s="1">
        <f>SUM(Table9[[#This Row],[Average]]+Table9[[#This Row],[Implementation]])</f>
        <v>5334.607638461539</v>
      </c>
      <c r="I7" s="18">
        <v>1985</v>
      </c>
      <c r="J7" s="24">
        <f t="shared" si="0"/>
        <v>2100</v>
      </c>
      <c r="K7" s="24">
        <f>SUM(Table9[[#This Row],[Base]]+175)</f>
        <v>2160</v>
      </c>
      <c r="L7" s="24">
        <f>SUM(Table9[[#This Row],[Base]]*12+Table9[[#This Row],[AD Int]])</f>
        <v>25920</v>
      </c>
      <c r="M7" s="18">
        <f>SUM(Table9[[#This Row],[Implementation2]]-Table9[[#This Row],[Initial Month]])</f>
        <v>3174.607638461539</v>
      </c>
      <c r="N7" s="24">
        <f>SUM(Table9[[#This Row],[Yearly]]-Table9[[#This Row],[PS and Internal]])</f>
        <v>-4062.44446153846</v>
      </c>
      <c r="O7" s="24">
        <f>SUM(Table9[[#This Row],[Yearly]]-Table9[[#This Row],[Internal]])</f>
        <v>-165.90599999999904</v>
      </c>
      <c r="P7" s="24">
        <f>SUM(B23-Table9[[#This Row],[Initial Month]])</f>
        <v>16723.607638461537</v>
      </c>
      <c r="Q7" s="24">
        <f>SUM(C23-Table9[[#This Row],[PS and Internal]])</f>
        <v>13548.999999999996</v>
      </c>
      <c r="R7" s="19">
        <f>SUM(Table9[[#This Row],[Yearly]]-Table9[[#This Row],[Internal]])</f>
        <v>-165.90599999999904</v>
      </c>
      <c r="S7" s="18">
        <f>SUM(D23-Table9[[#This Row],[Initial Month]])</f>
        <v>23188.474305128206</v>
      </c>
      <c r="T7" s="24">
        <f>SUM(E23-Table9[[#This Row],[PS and Internal]])</f>
        <v>20013.866666666665</v>
      </c>
      <c r="U7" s="24">
        <f>SUM(Table9[[#This Row],[Yearly]]-Table9[[#This Row],[Internal]])</f>
        <v>-165.90599999999904</v>
      </c>
      <c r="V7" s="44">
        <f>SUM(E23+Table9[[#This Row],[Internal]])</f>
        <v>76082.217128205128</v>
      </c>
      <c r="W7" s="45">
        <f>SUM(2*Table9[[#This Row],[Yearly]])</f>
        <v>51840</v>
      </c>
      <c r="X7" s="78">
        <f>SUM(2*Table45[[#This Row],[Yearly]])</f>
        <v>39480</v>
      </c>
      <c r="Y7" s="1">
        <f>SUM(E23+2*Table9[[#This Row],[Internal]])</f>
        <v>102168.12312820513</v>
      </c>
      <c r="Z7" s="45">
        <f>SUM(3*Table9[[#This Row],[Yearly]])</f>
        <v>77760</v>
      </c>
      <c r="AA7" s="78">
        <f>SUM(3*Table45[[#This Row],[Yearly]])</f>
        <v>59220</v>
      </c>
      <c r="AB7" s="44">
        <f>SUM(E23+3*Table9[[#This Row],[Internal]])</f>
        <v>128254.02912820512</v>
      </c>
      <c r="AC7" s="45">
        <f>SUM(4*Table9[[#This Row],[Yearly]])</f>
        <v>103680</v>
      </c>
      <c r="AD7" s="78">
        <f>SUM(4*Table45[[#This Row],[Yearly]])</f>
        <v>78960</v>
      </c>
      <c r="AE7" s="1">
        <f>SUM(E23+4*Table9[[#This Row],[Internal]])</f>
        <v>154339.93512820511</v>
      </c>
      <c r="AF7" s="45">
        <f>SUM(5*Table9[[#This Row],[Yearly]])</f>
        <v>129600</v>
      </c>
      <c r="AG7" s="78">
        <f>SUM(5*Table45[[#This Row],[Yearly]])</f>
        <v>98700</v>
      </c>
      <c r="AH7" s="78">
        <f>SUM(Apptix!B4+150)</f>
        <v>1645</v>
      </c>
      <c r="AI7" s="78">
        <f>SUM(Table45[[#This Row],[Base]])</f>
        <v>1645</v>
      </c>
      <c r="AJ7" s="78">
        <f>SUM(AH7*12)</f>
        <v>19740</v>
      </c>
      <c r="AK7" s="79">
        <f>SUM(Table9[[#This Row],[Implementation2]]-Table45[[#This Row],[Initial Month]])</f>
        <v>3689.607638461539</v>
      </c>
      <c r="AL7" s="78">
        <f>SUM(Table45[[#This Row],[Yearly]]-Table9[[#This Row],[PS and Internal]])</f>
        <v>-10242.44446153846</v>
      </c>
      <c r="AM7" s="78">
        <f>SUM(Table45[[#This Row],[Yearly]]-Table9[[#This Row],[Internal]])</f>
        <v>-6345.905999999999</v>
      </c>
      <c r="AN7" s="78">
        <f>SUM(B23-Table45[[#This Row],[Initial Month]])</f>
        <v>17238.607638461537</v>
      </c>
      <c r="AO7" s="78">
        <f>SUM(C23-Table9[[#This Row],[PS and Internal]])</f>
        <v>13548.999999999996</v>
      </c>
      <c r="AP7" s="80">
        <f>SUM(Table45[[#This Row],[Yearly]]-Table9[[#This Row],[Internal]])</f>
        <v>-6345.905999999999</v>
      </c>
      <c r="AQ7" s="79">
        <f>SUM(B23-Table45[[#This Row],[Initial Month]])</f>
        <v>17238.607638461537</v>
      </c>
      <c r="AR7" s="78">
        <f>SUM(C23-Table9[[#This Row],[PS and Internal]])</f>
        <v>13548.999999999996</v>
      </c>
      <c r="AS7" s="78">
        <f>SUM(Table45[[#This Row],[Yearly]]-Table9[[#This Row],[Internal]])</f>
        <v>-6345.905999999999</v>
      </c>
    </row>
    <row r="8" spans="1:45" x14ac:dyDescent="0.25">
      <c r="A8" t="s">
        <v>14</v>
      </c>
      <c r="B8" s="18">
        <f>AVERAGE(Table15[Low Total])</f>
        <v>5440.833333333333</v>
      </c>
      <c r="C8" s="24">
        <f>AVERAGE(Table15[High Total])</f>
        <v>8185</v>
      </c>
      <c r="D8" s="19">
        <f>AVERAGE(B8:C8)</f>
        <v>6812.9166666666661</v>
      </c>
      <c r="E8" s="18">
        <f>'Internal Salaries'!D37</f>
        <v>34781.208000000006</v>
      </c>
      <c r="F8" s="19">
        <f>'Internal Salaries'!F37</f>
        <v>2339.1268140624998</v>
      </c>
      <c r="G8" s="1">
        <f>SUM(Table9[[#This Row],[Average]:[Internal]])</f>
        <v>41594.12466666667</v>
      </c>
      <c r="H8" s="1">
        <f>SUM(Table9[[#This Row],[Average]]+Table9[[#This Row],[Implementation]])</f>
        <v>9152.0434807291658</v>
      </c>
      <c r="I8" s="18">
        <v>4150</v>
      </c>
      <c r="J8" s="24">
        <f t="shared" si="0"/>
        <v>2100</v>
      </c>
      <c r="K8" s="24">
        <f>SUM(Table9[[#This Row],[Base]]+175)</f>
        <v>4325</v>
      </c>
      <c r="L8" s="24">
        <f>SUM(Table9[[#This Row],[Base]]*12+Table9[[#This Row],[AD Int]])</f>
        <v>51900</v>
      </c>
      <c r="M8" s="18">
        <f>SUM(Table9[[#This Row],[Implementation2]]-Table9[[#This Row],[Initial Month]])</f>
        <v>4827.0434807291658</v>
      </c>
      <c r="N8" s="24">
        <f>SUM(Table9[[#This Row],[Yearly]]-Table9[[#This Row],[PS and Internal]])</f>
        <v>10305.87533333333</v>
      </c>
      <c r="O8" s="24">
        <f>SUM(Table9[[#This Row],[Yearly]]-Table9[[#This Row],[Internal]])</f>
        <v>17118.791999999994</v>
      </c>
      <c r="P8" s="24">
        <f>SUM(B24-Table9[[#This Row],[Initial Month]])</f>
        <v>31925.043480729168</v>
      </c>
      <c r="Q8" s="24">
        <f>SUM(C24-Table9[[#This Row],[PS and Internal]])</f>
        <v>27098</v>
      </c>
      <c r="R8" s="19">
        <f>SUM(Table9[[#This Row],[Yearly]]-Table9[[#This Row],[Internal]])</f>
        <v>17118.791999999994</v>
      </c>
      <c r="S8" s="18">
        <f>SUM(D24-Table9[[#This Row],[Initial Month]])</f>
        <v>44854.776814062498</v>
      </c>
      <c r="T8" s="24">
        <f>SUM(E24-Table9[[#This Row],[PS and Internal]])</f>
        <v>40027.733333333337</v>
      </c>
      <c r="U8" s="24">
        <f>SUM(Table9[[#This Row],[Yearly]]-Table9[[#This Row],[Internal]])</f>
        <v>17118.791999999994</v>
      </c>
      <c r="V8" s="44">
        <f>SUM(E24+Table9[[#This Row],[Internal]])</f>
        <v>116403.06600000002</v>
      </c>
      <c r="W8" s="45">
        <f>SUM(2*Table9[[#This Row],[Yearly]])</f>
        <v>103800</v>
      </c>
      <c r="X8" s="78">
        <f>SUM(2*Table45[[#This Row],[Yearly]])</f>
        <v>82680</v>
      </c>
      <c r="Y8" s="1">
        <f>SUM(E24+2*Table9[[#This Row],[Internal]])</f>
        <v>151184.27400000003</v>
      </c>
      <c r="Z8" s="45">
        <f>SUM(3*Table9[[#This Row],[Yearly]])</f>
        <v>155700</v>
      </c>
      <c r="AA8" s="78">
        <f>SUM(3*Table45[[#This Row],[Yearly]])</f>
        <v>124020</v>
      </c>
      <c r="AB8" s="44">
        <f>SUM(E24+3*Table9[[#This Row],[Internal]])</f>
        <v>185965.48200000002</v>
      </c>
      <c r="AC8" s="45">
        <f>SUM(4*Table9[[#This Row],[Yearly]])</f>
        <v>207600</v>
      </c>
      <c r="AD8" s="78">
        <f>SUM(4*Table45[[#This Row],[Yearly]])</f>
        <v>165360</v>
      </c>
      <c r="AE8" s="1">
        <f>SUM(E24+4*Table9[[#This Row],[Internal]])</f>
        <v>220746.69000000003</v>
      </c>
      <c r="AF8" s="45">
        <f>SUM(5*Table9[[#This Row],[Yearly]])</f>
        <v>259500</v>
      </c>
      <c r="AG8" s="78">
        <f>SUM(5*Table45[[#This Row],[Yearly]])</f>
        <v>206700</v>
      </c>
      <c r="AH8" s="78">
        <f>SUM(Apptix!B5+150)</f>
        <v>3445</v>
      </c>
      <c r="AI8" s="78">
        <f>SUM(Table45[[#This Row],[Base]])</f>
        <v>3445</v>
      </c>
      <c r="AJ8" s="78">
        <f t="shared" ref="AJ8:AJ10" si="1">SUM(AH8*12)</f>
        <v>41340</v>
      </c>
      <c r="AK8" s="78">
        <f>SUM(Table9[[#This Row],[Implementation2]]-Table45[[#This Row],[Initial Month]])</f>
        <v>5707.0434807291658</v>
      </c>
      <c r="AL8" s="78">
        <f>SUM(Table45[[#This Row],[Yearly]]-Table9[[#This Row],[PS and Internal]])</f>
        <v>-254.12466666667024</v>
      </c>
      <c r="AM8" s="78">
        <f>SUM(Table45[[#This Row],[Yearly]]-Table9[[#This Row],[Internal]])</f>
        <v>6558.791999999994</v>
      </c>
      <c r="AN8" s="78">
        <f>SUM(B24-Table45[[#This Row],[Initial Month]])</f>
        <v>32805.043480729168</v>
      </c>
      <c r="AO8" s="78">
        <f>SUM(C24-Table9[[#This Row],[PS and Internal]])</f>
        <v>27098</v>
      </c>
      <c r="AP8" s="80">
        <f>SUM(Table45[[#This Row],[Yearly]]-Table9[[#This Row],[Internal]])</f>
        <v>6558.791999999994</v>
      </c>
      <c r="AQ8" s="79">
        <f>SUM(B24-Table45[[#This Row],[Initial Month]])</f>
        <v>32805.043480729168</v>
      </c>
      <c r="AR8" s="78">
        <f>SUM(C24-Table9[[#This Row],[PS and Internal]])</f>
        <v>27098</v>
      </c>
      <c r="AS8" s="78">
        <f>SUM(Table45[[#This Row],[Yearly]]-Table9[[#This Row],[Internal]])</f>
        <v>6558.791999999994</v>
      </c>
    </row>
    <row r="9" spans="1:45" x14ac:dyDescent="0.25">
      <c r="A9" t="s">
        <v>15</v>
      </c>
      <c r="B9" s="18">
        <f>AVERAGE(Table16[Low Total])</f>
        <v>3810.7692307692309</v>
      </c>
      <c r="C9" s="24">
        <f>AVERAGE(Table16[High Total])</f>
        <v>5546.9230769230771</v>
      </c>
      <c r="D9" s="19">
        <f>AVERAGE(B9:C9)</f>
        <v>4678.8461538461543</v>
      </c>
      <c r="E9" s="18">
        <f>'Internal Salaries'!D38</f>
        <v>30433.557000000001</v>
      </c>
      <c r="F9" s="19">
        <f>'Internal Salaries'!F38</f>
        <v>1728.6093158653844</v>
      </c>
      <c r="G9" s="1">
        <f>SUM(Table9[[#This Row],[Average]:[Internal]])</f>
        <v>35112.403153846157</v>
      </c>
      <c r="H9" s="1">
        <f>SUM(Table9[[#This Row],[Average]]+Table9[[#This Row],[Implementation]])</f>
        <v>6407.4554697115382</v>
      </c>
      <c r="I9" s="18">
        <v>2685</v>
      </c>
      <c r="J9" s="24">
        <f t="shared" si="0"/>
        <v>2100</v>
      </c>
      <c r="K9" s="24">
        <f>SUM(Table9[[#This Row],[Base]]+175)</f>
        <v>2860</v>
      </c>
      <c r="L9" s="24">
        <f>SUM(Table9[[#This Row],[Base]]*12+Table9[[#This Row],[AD Int]])</f>
        <v>34320</v>
      </c>
      <c r="M9" s="18">
        <f>SUM(Table9[[#This Row],[Implementation2]]-Table9[[#This Row],[Initial Month]])</f>
        <v>3547.4554697115382</v>
      </c>
      <c r="N9" s="24">
        <f>SUM(Table9[[#This Row],[Yearly]]-Table9[[#This Row],[PS and Internal]])</f>
        <v>-792.40315384615678</v>
      </c>
      <c r="O9" s="24">
        <f>SUM(Table9[[#This Row],[Yearly]]-Table9[[#This Row],[Internal]])</f>
        <v>3886.4429999999993</v>
      </c>
      <c r="P9" s="24">
        <f>SUM(B25-Table9[[#This Row],[Initial Month]])</f>
        <v>22748.455469711538</v>
      </c>
      <c r="Q9" s="24">
        <f>SUM(C25-Table9[[#This Row],[PS and Internal]])</f>
        <v>19201</v>
      </c>
      <c r="R9" s="19">
        <f>SUM(Table9[[#This Row],[Yearly]]-Table9[[#This Row],[Internal]])</f>
        <v>3886.4429999999993</v>
      </c>
      <c r="S9" s="18">
        <f>SUM(D25-Table9[[#This Row],[Initial Month]])</f>
        <v>32462.422136378205</v>
      </c>
      <c r="T9" s="24">
        <f>SUM(E25-Table9[[#This Row],[PS and Internal]])</f>
        <v>28914.966666666667</v>
      </c>
      <c r="U9" s="24">
        <f>SUM(Table9[[#This Row],[Yearly]]-Table9[[#This Row],[Internal]])</f>
        <v>3886.4429999999993</v>
      </c>
      <c r="V9" s="44">
        <f>SUM(E25+Table9[[#This Row],[Internal]])</f>
        <v>94460.926820512832</v>
      </c>
      <c r="W9" s="45">
        <f>SUM(2*Table9[[#This Row],[Yearly]])</f>
        <v>68640</v>
      </c>
      <c r="X9" s="78">
        <f>SUM(2*Table45[[#This Row],[Yearly]])</f>
        <v>58680</v>
      </c>
      <c r="Y9" s="1">
        <f>SUM(E25+2*Table9[[#This Row],[Internal]])</f>
        <v>124894.48382051283</v>
      </c>
      <c r="Z9" s="45">
        <f>SUM(3*Table9[[#This Row],[Yearly]])</f>
        <v>102960</v>
      </c>
      <c r="AA9" s="78">
        <f>SUM(3*Table45[[#This Row],[Yearly]])</f>
        <v>88020</v>
      </c>
      <c r="AB9" s="44">
        <f>SUM(E25+3*Table9[[#This Row],[Internal]])</f>
        <v>155328.04082051283</v>
      </c>
      <c r="AC9" s="45">
        <f>SUM(4*Table9[[#This Row],[Yearly]])</f>
        <v>137280</v>
      </c>
      <c r="AD9" s="78">
        <f>SUM(4*Table45[[#This Row],[Yearly]])</f>
        <v>117360</v>
      </c>
      <c r="AE9" s="1">
        <f>SUM(E25+4*Table9[[#This Row],[Internal]])</f>
        <v>185761.59782051283</v>
      </c>
      <c r="AF9" s="45">
        <f>SUM(5*Table9[[#This Row],[Yearly]])</f>
        <v>171600</v>
      </c>
      <c r="AG9" s="78">
        <f>SUM(5*Table45[[#This Row],[Yearly]])</f>
        <v>146700</v>
      </c>
      <c r="AH9" s="78">
        <f>SUM(Apptix!B6+150)</f>
        <v>2445</v>
      </c>
      <c r="AI9" s="78">
        <f>SUM(Table45[[#This Row],[Base]])</f>
        <v>2445</v>
      </c>
      <c r="AJ9" s="78">
        <f t="shared" si="1"/>
        <v>29340</v>
      </c>
      <c r="AK9" s="78">
        <f>SUM(Table9[[#This Row],[Implementation2]]-Table45[[#This Row],[Initial Month]])</f>
        <v>3962.4554697115382</v>
      </c>
      <c r="AL9" s="78">
        <f>SUM(Table45[[#This Row],[Yearly]]-Table9[[#This Row],[PS and Internal]])</f>
        <v>-5772.4031538461568</v>
      </c>
      <c r="AM9" s="78">
        <f>SUM(Table45[[#This Row],[Yearly]]-Table9[[#This Row],[Internal]])</f>
        <v>-1093.5570000000007</v>
      </c>
      <c r="AN9" s="78">
        <f>SUM(B25-Table45[[#This Row],[Initial Month]])</f>
        <v>23163.455469711538</v>
      </c>
      <c r="AO9" s="78">
        <f>SUM(C25-Table9[[#This Row],[PS and Internal]])</f>
        <v>19201</v>
      </c>
      <c r="AP9" s="80">
        <f>SUM(Table45[[#This Row],[Yearly]]-Table9[[#This Row],[Internal]])</f>
        <v>-1093.5570000000007</v>
      </c>
      <c r="AQ9" s="79">
        <f>SUM(B25-Table45[[#This Row],[Initial Month]])</f>
        <v>23163.455469711538</v>
      </c>
      <c r="AR9" s="78">
        <f>SUM(C25-Table9[[#This Row],[PS and Internal]])</f>
        <v>19201</v>
      </c>
      <c r="AS9" s="78">
        <f>SUM(Table45[[#This Row],[Yearly]]-Table9[[#This Row],[Internal]])</f>
        <v>-1093.5570000000007</v>
      </c>
    </row>
    <row r="10" spans="1:45" ht="15.75" thickBot="1" x14ac:dyDescent="0.3">
      <c r="A10" t="s">
        <v>16</v>
      </c>
      <c r="B10" s="20">
        <f>AVERAGE(Table17[Low Total])</f>
        <v>7080</v>
      </c>
      <c r="C10" s="25">
        <f>AVERAGE(Table17[High Total])</f>
        <v>9853.3333333333339</v>
      </c>
      <c r="D10" s="21">
        <f>AVERAGE(B10:C10)</f>
        <v>8466.6666666666679</v>
      </c>
      <c r="E10" s="20">
        <f>'Internal Salaries'!D39</f>
        <v>43476.51</v>
      </c>
      <c r="F10" s="21">
        <f>'Internal Salaries'!F39</f>
        <v>2905.2272046875</v>
      </c>
      <c r="G10" s="1">
        <f>SUM(Table9[[#This Row],[Average]:[Internal]])</f>
        <v>51943.176666666666</v>
      </c>
      <c r="H10" s="1">
        <f>SUM(Table9[[#This Row],[Average]]+Table9[[#This Row],[Implementation]])</f>
        <v>11371.893871354168</v>
      </c>
      <c r="I10" s="20">
        <v>5740</v>
      </c>
      <c r="J10" s="25">
        <f t="shared" si="0"/>
        <v>2100</v>
      </c>
      <c r="K10" s="25">
        <f>SUM(Table9[[#This Row],[Base]]+175)</f>
        <v>5915</v>
      </c>
      <c r="L10" s="25">
        <f>SUM(Table9[[#This Row],[Base]]*12+Table9[[#This Row],[AD Int]])</f>
        <v>70980</v>
      </c>
      <c r="M10" s="20">
        <f>SUM(Table9[[#This Row],[Implementation2]]-Table9[[#This Row],[Initial Month]])</f>
        <v>5456.8938713541684</v>
      </c>
      <c r="N10" s="25">
        <f>SUM(Table9[[#This Row],[Yearly]]-Table9[[#This Row],[PS and Internal]])</f>
        <v>19036.823333333334</v>
      </c>
      <c r="O10" s="25">
        <f>SUM(Table9[[#This Row],[Yearly]]-Table9[[#This Row],[Internal]])</f>
        <v>27503.489999999998</v>
      </c>
      <c r="P10" s="25">
        <f>SUM(B26-Table9[[#This Row],[Initial Month]])</f>
        <v>43858.893871354172</v>
      </c>
      <c r="Q10" s="25">
        <f>SUM(C26-Table9[[#This Row],[PS and Internal]])</f>
        <v>38402</v>
      </c>
      <c r="R10" s="21">
        <f>SUM(Table9[[#This Row],[Yearly]]-Table9[[#This Row],[Internal]])</f>
        <v>27503.489999999998</v>
      </c>
      <c r="S10" s="18">
        <f>SUM(D26-Table9[[#This Row],[Initial Month]])</f>
        <v>63286.827204687506</v>
      </c>
      <c r="T10" s="24">
        <f>SUM(E26-Table9[[#This Row],[PS and Internal]])</f>
        <v>57829.933333333334</v>
      </c>
      <c r="U10" s="24">
        <f>SUM(Table9[[#This Row],[Yearly]]-Table9[[#This Row],[Internal]])</f>
        <v>27503.489999999998</v>
      </c>
      <c r="V10" s="46">
        <f>SUM(E26+Table9[[#This Row],[Internal]])</f>
        <v>153249.62</v>
      </c>
      <c r="W10" s="45">
        <f>SUM(2*Table9[[#This Row],[Yearly]])</f>
        <v>141960</v>
      </c>
      <c r="X10" s="78">
        <f>SUM(2*Table45[[#This Row],[Yearly]])</f>
        <v>123480</v>
      </c>
      <c r="Y10" s="1">
        <f>SUM(E26+2*Table9[[#This Row],[Internal]])</f>
        <v>196726.13</v>
      </c>
      <c r="Z10" s="45">
        <f>SUM(3*Table9[[#This Row],[Yearly]])</f>
        <v>212940</v>
      </c>
      <c r="AA10" s="78">
        <f>SUM(3*Table45[[#This Row],[Yearly]])</f>
        <v>185220</v>
      </c>
      <c r="AB10" s="46">
        <f>SUM(E26+3*Table9[[#This Row],[Internal]])</f>
        <v>240202.64</v>
      </c>
      <c r="AC10" s="45">
        <f>SUM(4*Table9[[#This Row],[Yearly]])</f>
        <v>283920</v>
      </c>
      <c r="AD10" s="78">
        <f>SUM(4*Table45[[#This Row],[Yearly]])</f>
        <v>246960</v>
      </c>
      <c r="AE10" s="1">
        <f>SUM(E26+4*Table9[[#This Row],[Internal]])</f>
        <v>283679.15000000002</v>
      </c>
      <c r="AF10" s="45">
        <f>SUM(5*Table9[[#This Row],[Yearly]])</f>
        <v>354900</v>
      </c>
      <c r="AG10" s="78">
        <f>SUM(5*Table45[[#This Row],[Yearly]])</f>
        <v>308700</v>
      </c>
      <c r="AH10" s="78">
        <f>SUM(Apptix!B7+150)</f>
        <v>5145</v>
      </c>
      <c r="AI10" s="78">
        <f>SUM(Table45[[#This Row],[Base]])</f>
        <v>5145</v>
      </c>
      <c r="AJ10" s="78">
        <f t="shared" si="1"/>
        <v>61740</v>
      </c>
      <c r="AK10" s="81">
        <f>SUM(Table9[[#This Row],[Implementation2]]-Table45[[#This Row],[Initial Month]])</f>
        <v>6226.8938713541684</v>
      </c>
      <c r="AL10" s="81">
        <f>SUM(Table45[[#This Row],[Yearly]]-Table9[[#This Row],[PS and Internal]])</f>
        <v>9796.8233333333337</v>
      </c>
      <c r="AM10" s="81">
        <f>SUM(Table45[[#This Row],[Yearly]]-Table9[[#This Row],[Internal]])</f>
        <v>18263.489999999998</v>
      </c>
      <c r="AN10" s="81">
        <f>SUM(B26-Table45[[#This Row],[Initial Month]])</f>
        <v>44628.893871354172</v>
      </c>
      <c r="AO10" s="81">
        <f>SUM(C26-Table9[[#This Row],[PS and Internal]])</f>
        <v>38402</v>
      </c>
      <c r="AP10" s="82">
        <f>SUM(Table45[[#This Row],[Yearly]]-Table9[[#This Row],[Internal]])</f>
        <v>18263.489999999998</v>
      </c>
      <c r="AQ10" s="79">
        <f>SUM(B26-Table45[[#This Row],[Initial Month]])</f>
        <v>44628.893871354172</v>
      </c>
      <c r="AR10" s="78">
        <f>SUM(C26-Table9[[#This Row],[PS and Internal]])</f>
        <v>38402</v>
      </c>
      <c r="AS10" s="78">
        <f>SUM(Table45[[#This Row],[Yearly]]-Table9[[#This Row],[Internal]])</f>
        <v>18263.489999999998</v>
      </c>
    </row>
    <row r="11" spans="1:45" ht="15.75" thickBot="1" x14ac:dyDescent="0.3"/>
    <row r="12" spans="1:45" x14ac:dyDescent="0.25">
      <c r="B12" s="27" t="s">
        <v>181</v>
      </c>
      <c r="C12" s="15"/>
      <c r="D12" s="2" t="s">
        <v>178</v>
      </c>
    </row>
    <row r="13" spans="1:45" x14ac:dyDescent="0.25">
      <c r="A13" s="31" t="s">
        <v>85</v>
      </c>
      <c r="B13" s="16" t="s">
        <v>179</v>
      </c>
      <c r="C13" s="17" t="s">
        <v>180</v>
      </c>
      <c r="D13" t="s">
        <v>195</v>
      </c>
    </row>
    <row r="14" spans="1:45" x14ac:dyDescent="0.25">
      <c r="A14" s="34" t="s">
        <v>65</v>
      </c>
      <c r="B14" s="18">
        <f>SUM('MS Licensing'!B8+'MS Licensing'!B9)</f>
        <v>5652</v>
      </c>
      <c r="C14" s="19"/>
      <c r="D14" s="1">
        <f>SUM(1*'Hardware Costs'!$E$33)</f>
        <v>3215.7666666666664</v>
      </c>
      <c r="E14" s="1"/>
      <c r="F14" s="1"/>
      <c r="G14" s="1"/>
      <c r="H14" s="1"/>
    </row>
    <row r="15" spans="1:45" x14ac:dyDescent="0.25">
      <c r="A15" s="34" t="s">
        <v>13</v>
      </c>
      <c r="B15" s="18">
        <f>SUM('MS Licensing'!B8+'MS Licensing'!B9+'MS Licensing'!B9+'MS Licensing'!B10)</f>
        <v>13549</v>
      </c>
      <c r="C15" s="19"/>
      <c r="D15" s="1">
        <f>SUM(1*'Hardware Costs'!$E$24+1*'Hardware Costs'!$E$33)</f>
        <v>6464.8666666666668</v>
      </c>
      <c r="E15" s="1"/>
      <c r="F15" s="1"/>
      <c r="G15" s="1"/>
      <c r="H15" s="1"/>
    </row>
    <row r="16" spans="1:45" x14ac:dyDescent="0.25">
      <c r="A16" s="34" t="s">
        <v>14</v>
      </c>
      <c r="B16" s="18">
        <f>SUM('MS Licensing'!B8*2+'MS Licensing'!B9*4+'MS Licensing'!B10*2)</f>
        <v>27098</v>
      </c>
      <c r="C16" s="19"/>
      <c r="D16" s="1">
        <f>SUM(2*'Hardware Costs'!$E$24+2*'Hardware Costs'!$E$33)</f>
        <v>12929.733333333334</v>
      </c>
      <c r="E16" s="1"/>
      <c r="F16" s="1"/>
      <c r="G16" s="1"/>
      <c r="H16" s="1"/>
    </row>
    <row r="17" spans="1:8" x14ac:dyDescent="0.25">
      <c r="A17" s="34" t="s">
        <v>15</v>
      </c>
      <c r="B17" s="18">
        <f>SUM('MS Licensing'!B8*2+'MS Licensing'!B9*3+'MS Licensing'!B10)</f>
        <v>19201</v>
      </c>
      <c r="C17" s="19"/>
      <c r="D17" s="1">
        <f>SUM(2*'Hardware Costs'!$E$24+1*'Hardware Costs'!$E$33)</f>
        <v>9713.9666666666672</v>
      </c>
      <c r="E17" s="1"/>
      <c r="F17" s="1"/>
      <c r="G17" s="1"/>
      <c r="H17" s="1"/>
    </row>
    <row r="18" spans="1:8" ht="15.75" thickBot="1" x14ac:dyDescent="0.3">
      <c r="A18" s="35" t="s">
        <v>16</v>
      </c>
      <c r="B18" s="20">
        <f>SUM('MS Licensing'!B8*4+'MS Licensing'!B9*6+'MS Licensing'!B10*2)</f>
        <v>38402</v>
      </c>
      <c r="C18" s="21"/>
      <c r="D18" s="1">
        <f>SUM(4*'Hardware Costs'!$E$24+2*'Hardware Costs'!$E$33)</f>
        <v>19427.933333333334</v>
      </c>
      <c r="E18" s="1"/>
      <c r="F18" s="1"/>
      <c r="G18" s="1"/>
      <c r="H18" s="1"/>
    </row>
    <row r="19" spans="1:8" ht="15.75" thickBot="1" x14ac:dyDescent="0.3"/>
    <row r="20" spans="1:8" x14ac:dyDescent="0.25">
      <c r="B20" s="37" t="s">
        <v>182</v>
      </c>
      <c r="C20" s="15"/>
      <c r="D20" t="s">
        <v>198</v>
      </c>
    </row>
    <row r="21" spans="1:8" x14ac:dyDescent="0.25">
      <c r="A21" s="31" t="s">
        <v>85</v>
      </c>
      <c r="B21" s="30" t="s">
        <v>102</v>
      </c>
      <c r="C21" s="17" t="s">
        <v>184</v>
      </c>
      <c r="D21" t="s">
        <v>199</v>
      </c>
      <c r="E21" t="s">
        <v>200</v>
      </c>
    </row>
    <row r="22" spans="1:8" x14ac:dyDescent="0.25">
      <c r="A22" s="34" t="s">
        <v>65</v>
      </c>
      <c r="B22" s="32">
        <f t="shared" ref="B22:B26" si="2">SUM(H6+B14)</f>
        <v>9598.2693581730764</v>
      </c>
      <c r="C22" s="19">
        <f t="shared" ref="C22:C26" si="3">SUM(G6+B14)</f>
        <v>25912.411692307694</v>
      </c>
      <c r="D22" s="32">
        <f>SUM(H6+B14+D14)</f>
        <v>12814.036024839743</v>
      </c>
      <c r="E22" s="1">
        <f>SUM(G6+B14+D14)</f>
        <v>29128.178358974361</v>
      </c>
    </row>
    <row r="23" spans="1:8" x14ac:dyDescent="0.25">
      <c r="A23" s="34" t="s">
        <v>13</v>
      </c>
      <c r="B23" s="32">
        <f t="shared" si="2"/>
        <v>18883.607638461537</v>
      </c>
      <c r="C23" s="19">
        <f t="shared" si="3"/>
        <v>43531.444461538456</v>
      </c>
      <c r="D23" s="32">
        <f>SUM(H7+B15+D15)</f>
        <v>25348.474305128206</v>
      </c>
      <c r="E23" s="1">
        <f>SUM(G7+B15+D15)</f>
        <v>49996.311128205125</v>
      </c>
    </row>
    <row r="24" spans="1:8" x14ac:dyDescent="0.25">
      <c r="A24" s="34" t="s">
        <v>14</v>
      </c>
      <c r="B24" s="32">
        <f t="shared" si="2"/>
        <v>36250.043480729168</v>
      </c>
      <c r="C24" s="19">
        <f t="shared" si="3"/>
        <v>68692.12466666667</v>
      </c>
      <c r="D24" s="32">
        <f>SUM(H8+B16+D16)</f>
        <v>49179.776814062498</v>
      </c>
      <c r="E24" s="1">
        <f>SUM(G8+B16+D16)</f>
        <v>81621.858000000007</v>
      </c>
    </row>
    <row r="25" spans="1:8" x14ac:dyDescent="0.25">
      <c r="A25" s="34" t="s">
        <v>15</v>
      </c>
      <c r="B25" s="32">
        <f t="shared" si="2"/>
        <v>25608.455469711538</v>
      </c>
      <c r="C25" s="19">
        <f t="shared" si="3"/>
        <v>54313.403153846157</v>
      </c>
      <c r="D25" s="32">
        <f>SUM(H9+B17+D17)</f>
        <v>35322.422136378205</v>
      </c>
      <c r="E25" s="1">
        <f>SUM(G9+B17+D17)</f>
        <v>64027.369820512824</v>
      </c>
    </row>
    <row r="26" spans="1:8" ht="15.75" thickBot="1" x14ac:dyDescent="0.3">
      <c r="A26" s="35" t="s">
        <v>16</v>
      </c>
      <c r="B26" s="33">
        <f t="shared" si="2"/>
        <v>49773.893871354172</v>
      </c>
      <c r="C26" s="21">
        <f t="shared" si="3"/>
        <v>90345.176666666666</v>
      </c>
      <c r="D26" s="32">
        <f>SUM(H10+B18+D18)</f>
        <v>69201.827204687506</v>
      </c>
      <c r="E26" s="1">
        <f>SUM(G10+B18+D18)</f>
        <v>109773.11</v>
      </c>
    </row>
    <row r="108" spans="1:24" ht="16.5" thickBot="1" x14ac:dyDescent="0.3">
      <c r="A108" s="59" t="s">
        <v>247</v>
      </c>
      <c r="B108" s="60"/>
      <c r="C108" s="60"/>
      <c r="D108" s="60"/>
      <c r="E108" s="60"/>
      <c r="F108" s="60"/>
      <c r="G108" s="60"/>
      <c r="H108" s="60"/>
      <c r="I108" s="60"/>
      <c r="J108" s="60"/>
      <c r="K108" s="60"/>
      <c r="L108" s="60"/>
      <c r="M108" s="60"/>
      <c r="N108" s="60"/>
      <c r="O108" s="60"/>
      <c r="P108" s="60"/>
      <c r="Q108" s="60"/>
      <c r="R108" s="60"/>
      <c r="S108" s="60"/>
      <c r="T108" s="60"/>
      <c r="U108" s="60"/>
      <c r="V108" s="60"/>
      <c r="W108" s="60"/>
      <c r="X108" s="60"/>
    </row>
    <row r="109" spans="1:24" x14ac:dyDescent="0.25">
      <c r="A109" s="2" t="s">
        <v>263</v>
      </c>
      <c r="B109" s="27" t="s">
        <v>107</v>
      </c>
      <c r="C109" s="22"/>
      <c r="D109" s="22"/>
      <c r="E109" s="15"/>
      <c r="F109" s="27" t="s">
        <v>108</v>
      </c>
      <c r="G109" s="22"/>
      <c r="H109" s="22"/>
      <c r="I109" s="15"/>
      <c r="K109" t="s">
        <v>239</v>
      </c>
    </row>
    <row r="110" spans="1:24" x14ac:dyDescent="0.25">
      <c r="A110" t="s">
        <v>106</v>
      </c>
      <c r="B110" s="16" t="s">
        <v>110</v>
      </c>
      <c r="C110" s="23" t="s">
        <v>111</v>
      </c>
      <c r="D110" s="23" t="s">
        <v>105</v>
      </c>
      <c r="E110" s="17" t="s">
        <v>264</v>
      </c>
      <c r="F110" s="16" t="s">
        <v>109</v>
      </c>
      <c r="G110" s="23" t="s">
        <v>115</v>
      </c>
      <c r="H110" s="23" t="s">
        <v>240</v>
      </c>
      <c r="I110" s="17" t="s">
        <v>265</v>
      </c>
      <c r="K110" t="s">
        <v>242</v>
      </c>
    </row>
    <row r="111" spans="1:24" x14ac:dyDescent="0.25">
      <c r="A111" s="8" t="s">
        <v>65</v>
      </c>
      <c r="B111" s="16">
        <v>50</v>
      </c>
      <c r="C111" s="24">
        <f>SUM(Table18[[#This Row],['# Users (Low)]]*8)</f>
        <v>400</v>
      </c>
      <c r="D111" s="24">
        <f>SUM(H6+'MS Licensing'!B$13*Table18[[#This Row],['# Users (Low)]])</f>
        <v>12846.269358173076</v>
      </c>
      <c r="E111" s="19">
        <f>SUM(K6+'MS Licensing'!B$13*Table18[[#This Row],['# Users (Low)]])</f>
        <v>10570</v>
      </c>
      <c r="F111" s="52">
        <v>500</v>
      </c>
      <c r="G111" s="24">
        <f>SUM(Table18[[#This Row],['# Users (High)]]*8)</f>
        <v>4000</v>
      </c>
      <c r="H111" s="24">
        <f>SUM(H6+'MS Licensing'!$B$13*Table18[[#This Row],['# Users (High)]])</f>
        <v>92946.269358173071</v>
      </c>
      <c r="I111" s="19">
        <f>SUM($K6+'MS Licensing'!$B$13*Table18[[#This Row],['# Users (High)]])</f>
        <v>90670</v>
      </c>
      <c r="K111" t="s">
        <v>266</v>
      </c>
    </row>
    <row r="112" spans="1:24" x14ac:dyDescent="0.25">
      <c r="A112" s="8" t="s">
        <v>13</v>
      </c>
      <c r="B112" s="16">
        <v>50</v>
      </c>
      <c r="C112" s="24">
        <f>SUM(Table18[[#This Row],['# Users (Low)]]*8)</f>
        <v>400</v>
      </c>
      <c r="D112" s="24">
        <f>SUM(H7+'MS Licensing'!B$13*Table18[[#This Row],['# Users (Low)]])</f>
        <v>14234.607638461539</v>
      </c>
      <c r="E112" s="19">
        <f>SUM(K7+'MS Licensing'!B$13*Table18[[#This Row],['# Users (Low)]])</f>
        <v>11060</v>
      </c>
      <c r="F112" s="52">
        <v>1000</v>
      </c>
      <c r="G112" s="24">
        <f>SUM(Table18[[#This Row],['# Users (High)]]*8)</f>
        <v>8000</v>
      </c>
      <c r="H112" s="24">
        <f>SUM(H7+'MS Licensing'!$B$13*Table18[[#This Row],['# Users (High)]])</f>
        <v>183334.60763846154</v>
      </c>
      <c r="I112" s="19">
        <f>SUM($K7+'MS Licensing'!$B$13*Table18[[#This Row],['# Users (High)]])</f>
        <v>180160</v>
      </c>
    </row>
    <row r="113" spans="1:19" x14ac:dyDescent="0.25">
      <c r="A113" s="8" t="s">
        <v>14</v>
      </c>
      <c r="B113" s="16">
        <v>100</v>
      </c>
      <c r="C113" s="24">
        <f>SUM(Table18[[#This Row],['# Users (Low)]]*8)</f>
        <v>800</v>
      </c>
      <c r="D113" s="24">
        <f>SUM(H8+'MS Licensing'!B$13*Table18[[#This Row],['# Users (Low)]])</f>
        <v>26952.043480729168</v>
      </c>
      <c r="E113" s="19">
        <f>SUM(K8+'MS Licensing'!B$13*Table18[[#This Row],['# Users (Low)]])</f>
        <v>22125</v>
      </c>
      <c r="F113" s="52">
        <v>2000</v>
      </c>
      <c r="G113" s="24">
        <f>SUM(Table18[[#This Row],['# Users (High)]]*8)</f>
        <v>16000</v>
      </c>
      <c r="H113" s="24">
        <f>SUM(H8+'MS Licensing'!$B$13*Table18[[#This Row],['# Users (High)]])</f>
        <v>365152.04348072916</v>
      </c>
      <c r="I113" s="19">
        <f>SUM($K8+'MS Licensing'!$B$13*Table18[[#This Row],['# Users (High)]])</f>
        <v>360325</v>
      </c>
    </row>
    <row r="114" spans="1:19" x14ac:dyDescent="0.25">
      <c r="A114" s="8" t="s">
        <v>15</v>
      </c>
      <c r="B114" s="16">
        <v>50</v>
      </c>
      <c r="C114" s="24">
        <f>SUM(Table18[[#This Row],['# Users (Low)]]*8)</f>
        <v>400</v>
      </c>
      <c r="D114" s="24">
        <f>SUM(H9+'MS Licensing'!B$13*Table18[[#This Row],['# Users (Low)]])</f>
        <v>15307.455469711538</v>
      </c>
      <c r="E114" s="19">
        <f>SUM(K9+'MS Licensing'!B$13*Table18[[#This Row],['# Users (Low)]])</f>
        <v>11760</v>
      </c>
      <c r="F114" s="52">
        <v>1000</v>
      </c>
      <c r="G114" s="24">
        <f>SUM(Table18[[#This Row],['# Users (High)]]*8)</f>
        <v>8000</v>
      </c>
      <c r="H114" s="24">
        <f>SUM(H9+'MS Licensing'!$B$13*Table18[[#This Row],['# Users (High)]])</f>
        <v>184407.45546971154</v>
      </c>
      <c r="I114" s="19">
        <f>SUM($K9+'MS Licensing'!$B$13*Table18[[#This Row],['# Users (High)]])</f>
        <v>180860</v>
      </c>
    </row>
    <row r="115" spans="1:19" ht="15.75" thickBot="1" x14ac:dyDescent="0.3">
      <c r="A115" s="9" t="s">
        <v>16</v>
      </c>
      <c r="B115" s="26">
        <v>100</v>
      </c>
      <c r="C115" s="25">
        <f>SUM(Table18[[#This Row],['# Users (Low)]]*8)</f>
        <v>800</v>
      </c>
      <c r="D115" s="24">
        <f>SUM(H10+'MS Licensing'!B$13*Table18[[#This Row],['# Users (Low)]])</f>
        <v>29171.893871354168</v>
      </c>
      <c r="E115" s="19">
        <f>SUM(K10+'MS Licensing'!B$13*Table18[[#This Row],['# Users (Low)]])</f>
        <v>23715</v>
      </c>
      <c r="F115" s="53">
        <v>2000</v>
      </c>
      <c r="G115" s="25">
        <f>SUM(Table18[[#This Row],['# Users (High)]]*8)</f>
        <v>16000</v>
      </c>
      <c r="H115" s="24">
        <f>SUM(H10+'MS Licensing'!$B$13*Table18[[#This Row],['# Users (High)]])</f>
        <v>367371.89387135417</v>
      </c>
      <c r="I115" s="19">
        <f>SUM($K10+'MS Licensing'!$B$13*Table18[[#This Row],['# Users (High)]])</f>
        <v>361915</v>
      </c>
    </row>
    <row r="116" spans="1:19" ht="15.75" thickBot="1" x14ac:dyDescent="0.3"/>
    <row r="117" spans="1:19" x14ac:dyDescent="0.25">
      <c r="A117" s="2" t="s">
        <v>267</v>
      </c>
      <c r="B117" s="27" t="s">
        <v>107</v>
      </c>
      <c r="C117" s="22"/>
      <c r="D117" s="22"/>
      <c r="E117" s="15"/>
      <c r="F117" s="27" t="s">
        <v>108</v>
      </c>
      <c r="G117" s="22"/>
      <c r="H117" s="22"/>
      <c r="I117" s="15"/>
      <c r="K117" s="2" t="s">
        <v>216</v>
      </c>
      <c r="L117" s="27" t="s">
        <v>107</v>
      </c>
      <c r="M117" s="22"/>
      <c r="N117" s="22"/>
      <c r="O117" s="15"/>
      <c r="P117" s="27" t="s">
        <v>108</v>
      </c>
      <c r="Q117" s="22"/>
      <c r="R117" s="22"/>
      <c r="S117" s="15"/>
    </row>
    <row r="118" spans="1:19" x14ac:dyDescent="0.25">
      <c r="A118" t="s">
        <v>106</v>
      </c>
      <c r="B118" s="16" t="s">
        <v>110</v>
      </c>
      <c r="C118" s="23" t="s">
        <v>111</v>
      </c>
      <c r="D118" s="23" t="s">
        <v>105</v>
      </c>
      <c r="E118" s="17" t="s">
        <v>264</v>
      </c>
      <c r="F118" s="16" t="s">
        <v>109</v>
      </c>
      <c r="G118" s="23" t="s">
        <v>115</v>
      </c>
      <c r="H118" s="23" t="s">
        <v>241</v>
      </c>
      <c r="I118" s="17" t="s">
        <v>271</v>
      </c>
      <c r="K118" t="s">
        <v>106</v>
      </c>
      <c r="L118" s="16" t="s">
        <v>110</v>
      </c>
      <c r="M118" s="23" t="s">
        <v>111</v>
      </c>
      <c r="N118" s="23" t="s">
        <v>105</v>
      </c>
      <c r="O118" s="17" t="s">
        <v>264</v>
      </c>
      <c r="P118" s="16" t="s">
        <v>109</v>
      </c>
      <c r="Q118" s="23" t="s">
        <v>115</v>
      </c>
      <c r="R118" s="23" t="s">
        <v>240</v>
      </c>
      <c r="S118" s="17" t="s">
        <v>268</v>
      </c>
    </row>
    <row r="119" spans="1:19" x14ac:dyDescent="0.25">
      <c r="A119" s="8" t="s">
        <v>65</v>
      </c>
      <c r="B119" s="16">
        <v>50</v>
      </c>
      <c r="C119" s="24">
        <f>SUM(Table1817[[#This Row],['# Users (Low)]]*8*12)</f>
        <v>4800</v>
      </c>
      <c r="D119" s="24">
        <f>SUM(G6+'MS Licensing'!B$13*Table1817[[#This Row],['# Users (Low)]])</f>
        <v>29160.411692307694</v>
      </c>
      <c r="E119" s="19">
        <f>SUM(L6+'MS Licensing'!B$13*Table1817[[#This Row],['# Users (Low)]])</f>
        <v>28940</v>
      </c>
      <c r="F119" s="52">
        <v>500</v>
      </c>
      <c r="G119" s="24">
        <f>SUM(Table1817[[#This Row],['# Users (High)]]*8*12)</f>
        <v>48000</v>
      </c>
      <c r="H119" s="24">
        <f>SUM(G6+'MS Licensing'!B$13*Table1817[[#This Row],['# Users (High)]])</f>
        <v>109260.41169230769</v>
      </c>
      <c r="I119" s="19">
        <f>SUM(L6+'MS Licensing'!B$13*Table1817[[#This Row],['# Users (High)]])</f>
        <v>109040</v>
      </c>
      <c r="K119" s="8" t="s">
        <v>65</v>
      </c>
      <c r="L119" s="16">
        <v>50</v>
      </c>
      <c r="M119" s="24">
        <f>SUM(Table181733[[#This Row],['# Users (Low)]]*8*12*3)</f>
        <v>14400</v>
      </c>
      <c r="N119" s="24">
        <f>SUM(Table1817[[#This Row],[On Premises]]+2*D127)</f>
        <v>63941.6196923077</v>
      </c>
      <c r="O119" s="19">
        <f>SUM(Table1817[[#This Row],[Fully Hosted Cloud]]+E127*2)</f>
        <v>69020</v>
      </c>
      <c r="P119" s="52">
        <v>500</v>
      </c>
      <c r="Q119" s="24">
        <f>SUM(Table181733[[#This Row],['# Users (High)]]*8*12*3)</f>
        <v>144000</v>
      </c>
      <c r="R119" s="24">
        <f>SUM(Table1817[[#This Row],[On Premises  ]]+H127*2)</f>
        <v>144041.61969230769</v>
      </c>
      <c r="S119" s="19">
        <f>SUM(Table1817[[#This Row],[Fully Hosted Cloud  ]]+I127*2)</f>
        <v>149120</v>
      </c>
    </row>
    <row r="120" spans="1:19" x14ac:dyDescent="0.25">
      <c r="A120" s="8" t="s">
        <v>13</v>
      </c>
      <c r="B120" s="16">
        <v>50</v>
      </c>
      <c r="C120" s="24">
        <f>SUM(Table1817[[#This Row],['# Users (Low)]]*8*12)</f>
        <v>4800</v>
      </c>
      <c r="D120" s="24">
        <f>SUM(G7+'MS Licensing'!B$13*Table1817[[#This Row],['# Users (Low)]])</f>
        <v>38882.444461538456</v>
      </c>
      <c r="E120" s="19">
        <f>SUM(L7+'MS Licensing'!B$13*Table1817[[#This Row],['# Users (Low)]])</f>
        <v>34820</v>
      </c>
      <c r="F120" s="52">
        <v>1000</v>
      </c>
      <c r="G120" s="24">
        <f>SUM(Table1817[[#This Row],['# Users (High)]]*8*12)</f>
        <v>96000</v>
      </c>
      <c r="H120" s="24">
        <f>SUM(G7+'MS Licensing'!B$13*Table1817[[#This Row],['# Users (High)]])</f>
        <v>207982.44446153846</v>
      </c>
      <c r="I120" s="19">
        <f>SUM(L7+'MS Licensing'!B$13*Table1817[[#This Row],['# Users (High)]])</f>
        <v>203920</v>
      </c>
      <c r="K120" s="8" t="s">
        <v>13</v>
      </c>
      <c r="L120" s="16">
        <v>50</v>
      </c>
      <c r="M120" s="24">
        <f>SUM(Table181733[[#This Row],['# Users (Low)]]*8*12*3)</f>
        <v>14400</v>
      </c>
      <c r="N120" s="24">
        <f>SUM(Table1817[[#This Row],[On Premises]]+2*D128)</f>
        <v>91054.256461538462</v>
      </c>
      <c r="O120" s="19">
        <f>SUM(Table1817[[#This Row],[Fully Hosted Cloud]]+E128*2)</f>
        <v>86660</v>
      </c>
      <c r="P120" s="52">
        <v>1000</v>
      </c>
      <c r="Q120" s="24">
        <f>SUM(Table181733[[#This Row],['# Users (High)]]*8*12*3)</f>
        <v>288000</v>
      </c>
      <c r="R120" s="24">
        <f>SUM(Table1817[[#This Row],[On Premises  ]]+H128*2)</f>
        <v>260154.25646153846</v>
      </c>
      <c r="S120" s="19">
        <f>SUM(Table1817[[#This Row],[Fully Hosted Cloud  ]]+I128*2)</f>
        <v>255760</v>
      </c>
    </row>
    <row r="121" spans="1:19" x14ac:dyDescent="0.25">
      <c r="A121" s="8" t="s">
        <v>14</v>
      </c>
      <c r="B121" s="16">
        <v>100</v>
      </c>
      <c r="C121" s="24">
        <f>SUM(Table1817[[#This Row],['# Users (Low)]]*8*12)</f>
        <v>9600</v>
      </c>
      <c r="D121" s="24">
        <f>SUM(G8+'MS Licensing'!B$13*Table1817[[#This Row],['# Users (Low)]])</f>
        <v>59394.12466666667</v>
      </c>
      <c r="E121" s="19">
        <f>SUM(L8+'MS Licensing'!B$13*Table1817[[#This Row],['# Users (Low)]])</f>
        <v>69700</v>
      </c>
      <c r="F121" s="52">
        <v>2000</v>
      </c>
      <c r="G121" s="24">
        <f>SUM(Table1817[[#This Row],['# Users (High)]]*8*12)</f>
        <v>192000</v>
      </c>
      <c r="H121" s="24">
        <f>SUM(G8+'MS Licensing'!B$13*Table1817[[#This Row],['# Users (High)]])</f>
        <v>397594.12466666667</v>
      </c>
      <c r="I121" s="19">
        <f>SUM(L8+'MS Licensing'!B$13*Table1817[[#This Row],['# Users (High)]])</f>
        <v>407900</v>
      </c>
      <c r="K121" s="8" t="s">
        <v>14</v>
      </c>
      <c r="L121" s="16">
        <v>100</v>
      </c>
      <c r="M121" s="24">
        <f>SUM(Table181733[[#This Row],['# Users (Low)]]*8*12*3)</f>
        <v>28800</v>
      </c>
      <c r="N121" s="24">
        <f>SUM(Table1817[[#This Row],[On Premises]]+2*D129)</f>
        <v>128956.54066666668</v>
      </c>
      <c r="O121" s="19">
        <f>SUM(Table1817[[#This Row],[Fully Hosted Cloud]]+E129*2)</f>
        <v>173500</v>
      </c>
      <c r="P121" s="52">
        <v>2000</v>
      </c>
      <c r="Q121" s="24">
        <f>SUM(Table181733[[#This Row],['# Users (High)]]*8*12*3)</f>
        <v>576000</v>
      </c>
      <c r="R121" s="24">
        <f>SUM(Table1817[[#This Row],[On Premises  ]]+H129*2)</f>
        <v>467156.5406666667</v>
      </c>
      <c r="S121" s="19">
        <f>SUM(Table1817[[#This Row],[Fully Hosted Cloud  ]]+I129*2)</f>
        <v>511700</v>
      </c>
    </row>
    <row r="122" spans="1:19" x14ac:dyDescent="0.25">
      <c r="A122" s="8" t="s">
        <v>15</v>
      </c>
      <c r="B122" s="16">
        <v>50</v>
      </c>
      <c r="C122" s="24">
        <f>SUM(Table1817[[#This Row],['# Users (Low)]]*8*12)</f>
        <v>4800</v>
      </c>
      <c r="D122" s="24">
        <f>SUM(G9+'MS Licensing'!B$13*Table1817[[#This Row],['# Users (Low)]])</f>
        <v>44012.403153846157</v>
      </c>
      <c r="E122" s="19">
        <f>SUM(L9+'MS Licensing'!B$13*Table1817[[#This Row],['# Users (Low)]])</f>
        <v>43220</v>
      </c>
      <c r="F122" s="52">
        <v>1000</v>
      </c>
      <c r="G122" s="24">
        <f>SUM(Table1817[[#This Row],['# Users (High)]]*8*12)</f>
        <v>96000</v>
      </c>
      <c r="H122" s="24">
        <f>SUM(G9+'MS Licensing'!B$13*Table1817[[#This Row],['# Users (High)]])</f>
        <v>213112.40315384616</v>
      </c>
      <c r="I122" s="19">
        <f>SUM(L9+'MS Licensing'!B$13*Table1817[[#This Row],['# Users (High)]])</f>
        <v>212320</v>
      </c>
      <c r="K122" s="8" t="s">
        <v>15</v>
      </c>
      <c r="L122" s="16">
        <v>50</v>
      </c>
      <c r="M122" s="24">
        <f>SUM(Table181733[[#This Row],['# Users (Low)]]*8*12*3)</f>
        <v>14400</v>
      </c>
      <c r="N122" s="24">
        <f>SUM(Table1817[[#This Row],[On Premises]]+2*D130)</f>
        <v>104879.51715384616</v>
      </c>
      <c r="O122" s="19">
        <f>SUM(Table1817[[#This Row],[Fully Hosted Cloud]]+E130*2)</f>
        <v>111860</v>
      </c>
      <c r="P122" s="52">
        <v>1000</v>
      </c>
      <c r="Q122" s="24">
        <f>SUM(Table181733[[#This Row],['# Users (High)]]*8*12*3)</f>
        <v>288000</v>
      </c>
      <c r="R122" s="24">
        <f>SUM(Table1817[[#This Row],[On Premises  ]]+H130*2)</f>
        <v>273979.51715384616</v>
      </c>
      <c r="S122" s="19">
        <f>SUM(Table1817[[#This Row],[Fully Hosted Cloud  ]]+I130*2)</f>
        <v>280960</v>
      </c>
    </row>
    <row r="123" spans="1:19" ht="15.75" thickBot="1" x14ac:dyDescent="0.3">
      <c r="A123" s="9" t="s">
        <v>16</v>
      </c>
      <c r="B123" s="26">
        <v>100</v>
      </c>
      <c r="C123" s="25">
        <f>SUM(Table1817[[#This Row],['# Users (Low)]]*8*12)</f>
        <v>9600</v>
      </c>
      <c r="D123" s="24">
        <f>SUM(G10+'MS Licensing'!B$13*Table1817[[#This Row],['# Users (Low)]])</f>
        <v>69743.176666666666</v>
      </c>
      <c r="E123" s="19">
        <f>SUM(L10+'MS Licensing'!B$13*Table1817[[#This Row],['# Users (Low)]])</f>
        <v>88780</v>
      </c>
      <c r="F123" s="53">
        <v>2000</v>
      </c>
      <c r="G123" s="25">
        <f>SUM(Table1817[[#This Row],['# Users (High)]]*8*12)</f>
        <v>192000</v>
      </c>
      <c r="H123" s="24">
        <f>SUM(G10+'MS Licensing'!B$13*Table1817[[#This Row],['# Users (High)]])</f>
        <v>407943.17666666664</v>
      </c>
      <c r="I123" s="19">
        <f>SUM(L10+'MS Licensing'!B$13*Table1817[[#This Row],['# Users (High)]])</f>
        <v>426980</v>
      </c>
      <c r="K123" s="9" t="s">
        <v>16</v>
      </c>
      <c r="L123" s="26">
        <v>100</v>
      </c>
      <c r="M123" s="24">
        <f>SUM(Table181733[[#This Row],['# Users (Low)]]*8*12*3)</f>
        <v>28800</v>
      </c>
      <c r="N123" s="24">
        <f>SUM(Table1817[[#This Row],[On Premises]]+2*D131)</f>
        <v>156696.19666666666</v>
      </c>
      <c r="O123" s="19">
        <f>SUM(Table1817[[#This Row],[Fully Hosted Cloud]]+E131*2)</f>
        <v>230740</v>
      </c>
      <c r="P123" s="53">
        <v>2000</v>
      </c>
      <c r="Q123" s="24">
        <f>SUM(Table181733[[#This Row],['# Users (High)]]*8*12*3)</f>
        <v>576000</v>
      </c>
      <c r="R123" s="24">
        <f>SUM(Table1817[[#This Row],[On Premises  ]]+H131*2)</f>
        <v>494896.19666666666</v>
      </c>
      <c r="S123" s="19">
        <f>SUM(Table1817[[#This Row],[Fully Hosted Cloud  ]]+I131*2)</f>
        <v>568940</v>
      </c>
    </row>
    <row r="124" spans="1:19" ht="15.75" thickBot="1" x14ac:dyDescent="0.3"/>
    <row r="125" spans="1:19" x14ac:dyDescent="0.25">
      <c r="A125" s="2" t="s">
        <v>269</v>
      </c>
      <c r="B125" s="27" t="s">
        <v>107</v>
      </c>
      <c r="C125" s="22"/>
      <c r="D125" s="22"/>
      <c r="E125" s="15"/>
      <c r="F125" s="27" t="s">
        <v>108</v>
      </c>
      <c r="G125" s="22"/>
      <c r="H125" s="22"/>
      <c r="I125" s="15"/>
      <c r="K125" s="2" t="s">
        <v>215</v>
      </c>
      <c r="L125" s="27" t="s">
        <v>107</v>
      </c>
      <c r="M125" s="22"/>
      <c r="N125" s="22"/>
      <c r="O125" s="15"/>
      <c r="P125" s="27" t="s">
        <v>108</v>
      </c>
      <c r="Q125" s="22"/>
      <c r="R125" s="22"/>
      <c r="S125" s="15"/>
    </row>
    <row r="126" spans="1:19" x14ac:dyDescent="0.25">
      <c r="A126" t="s">
        <v>106</v>
      </c>
      <c r="B126" s="16" t="s">
        <v>110</v>
      </c>
      <c r="C126" s="23" t="s">
        <v>111</v>
      </c>
      <c r="D126" s="23" t="s">
        <v>105</v>
      </c>
      <c r="E126" s="17" t="s">
        <v>264</v>
      </c>
      <c r="F126" s="16" t="s">
        <v>109</v>
      </c>
      <c r="G126" s="23" t="s">
        <v>115</v>
      </c>
      <c r="H126" s="23" t="s">
        <v>240</v>
      </c>
      <c r="I126" s="17" t="s">
        <v>270</v>
      </c>
      <c r="K126" t="s">
        <v>106</v>
      </c>
      <c r="L126" s="16" t="s">
        <v>110</v>
      </c>
      <c r="M126" s="23" t="s">
        <v>111</v>
      </c>
      <c r="N126" s="23" t="s">
        <v>105</v>
      </c>
      <c r="O126" s="17" t="s">
        <v>264</v>
      </c>
      <c r="P126" s="16" t="s">
        <v>109</v>
      </c>
      <c r="Q126" s="23" t="s">
        <v>115</v>
      </c>
      <c r="R126" s="23" t="s">
        <v>240</v>
      </c>
      <c r="S126" s="17" t="s">
        <v>270</v>
      </c>
    </row>
    <row r="127" spans="1:19" x14ac:dyDescent="0.25">
      <c r="A127" s="8" t="s">
        <v>65</v>
      </c>
      <c r="B127" s="16">
        <v>50</v>
      </c>
      <c r="C127" s="24">
        <f>SUM(Table181718[[#This Row],['# Users (Low)]]*8*12)</f>
        <v>4800</v>
      </c>
      <c r="D127" s="24">
        <f t="shared" ref="D127:D131" si="4">E6</f>
        <v>17390.604000000003</v>
      </c>
      <c r="E127" s="19">
        <f t="shared" ref="E127:E131" si="5">L6</f>
        <v>20040</v>
      </c>
      <c r="F127" s="52">
        <v>500</v>
      </c>
      <c r="G127" s="24">
        <f>SUM(Table181718[[#This Row],['# Users (High)]]*8*12)</f>
        <v>48000</v>
      </c>
      <c r="H127" s="24">
        <f>E6</f>
        <v>17390.604000000003</v>
      </c>
      <c r="I127" s="19">
        <f t="shared" ref="I127:I131" si="6">L6</f>
        <v>20040</v>
      </c>
      <c r="K127" s="8" t="s">
        <v>65</v>
      </c>
      <c r="L127" s="16">
        <v>50</v>
      </c>
      <c r="M127" s="24">
        <f>SUM(Table18171834[[#This Row],['# Users (Low)]]*8*12*5)</f>
        <v>24000</v>
      </c>
      <c r="N127" s="24">
        <f>SUM(D119+Table181718[[#This Row],[On Premises]]*4)</f>
        <v>98722.827692307706</v>
      </c>
      <c r="O127" s="19">
        <f>SUM(E119+Table181718[[#This Row],[Fully Hosted Cloud]]*4)</f>
        <v>109100</v>
      </c>
      <c r="P127" s="52">
        <v>500</v>
      </c>
      <c r="Q127" s="24">
        <f>SUM(Table18171834[[#This Row],['# Users (High)]]*8*12*5)</f>
        <v>240000</v>
      </c>
      <c r="R127" s="24">
        <f>SUM(H119+Table181718[[#This Row],[On Premises ]]*4)</f>
        <v>178822.82769230771</v>
      </c>
      <c r="S127" s="19">
        <f>SUM(I119+Table181718[[#This Row],[Fully Hosted Cloud   ]]*4)</f>
        <v>189200</v>
      </c>
    </row>
    <row r="128" spans="1:19" x14ac:dyDescent="0.25">
      <c r="A128" s="8" t="s">
        <v>13</v>
      </c>
      <c r="B128" s="16">
        <v>50</v>
      </c>
      <c r="C128" s="24">
        <f>SUM(Table181718[[#This Row],['# Users (Low)]]*8*12)</f>
        <v>4800</v>
      </c>
      <c r="D128" s="24">
        <f t="shared" si="4"/>
        <v>26085.905999999999</v>
      </c>
      <c r="E128" s="19">
        <f t="shared" si="5"/>
        <v>25920</v>
      </c>
      <c r="F128" s="52">
        <v>1000</v>
      </c>
      <c r="G128" s="24">
        <f>SUM(Table181718[[#This Row],['# Users (High)]]*8*12)</f>
        <v>96000</v>
      </c>
      <c r="H128" s="24">
        <f t="shared" ref="H128:H131" si="7">E7</f>
        <v>26085.905999999999</v>
      </c>
      <c r="I128" s="19">
        <f t="shared" si="6"/>
        <v>25920</v>
      </c>
      <c r="K128" s="8" t="s">
        <v>13</v>
      </c>
      <c r="L128" s="16">
        <v>50</v>
      </c>
      <c r="M128" s="24">
        <f>SUM(Table18171834[[#This Row],['# Users (Low)]]*8*12*5)</f>
        <v>24000</v>
      </c>
      <c r="N128" s="24">
        <f>SUM(D120+Table181718[[#This Row],[On Premises]]*4)</f>
        <v>143226.06846153847</v>
      </c>
      <c r="O128" s="19">
        <f>SUM(E120+Table181718[[#This Row],[Fully Hosted Cloud]]*4)</f>
        <v>138500</v>
      </c>
      <c r="P128" s="52">
        <v>1000</v>
      </c>
      <c r="Q128" s="24">
        <f>SUM(Table18171834[[#This Row],['# Users (High)]]*8*12*5)</f>
        <v>480000</v>
      </c>
      <c r="R128" s="24">
        <f>SUM(H120+Table181718[[#This Row],[On Premises ]]*4)</f>
        <v>312326.06846153847</v>
      </c>
      <c r="S128" s="19">
        <f>SUM(I120+Table181718[[#This Row],[Fully Hosted Cloud   ]]*4)</f>
        <v>307600</v>
      </c>
    </row>
    <row r="129" spans="1:19" x14ac:dyDescent="0.25">
      <c r="A129" s="8" t="s">
        <v>14</v>
      </c>
      <c r="B129" s="16">
        <v>100</v>
      </c>
      <c r="C129" s="24">
        <f>SUM(Table181718[[#This Row],['# Users (Low)]]*8*12)</f>
        <v>9600</v>
      </c>
      <c r="D129" s="24">
        <f t="shared" si="4"/>
        <v>34781.208000000006</v>
      </c>
      <c r="E129" s="19">
        <f t="shared" si="5"/>
        <v>51900</v>
      </c>
      <c r="F129" s="52">
        <v>2000</v>
      </c>
      <c r="G129" s="24">
        <f>SUM(Table181718[[#This Row],['# Users (High)]]*8*12)</f>
        <v>192000</v>
      </c>
      <c r="H129" s="24">
        <f t="shared" si="7"/>
        <v>34781.208000000006</v>
      </c>
      <c r="I129" s="19">
        <f t="shared" si="6"/>
        <v>51900</v>
      </c>
      <c r="K129" s="8" t="s">
        <v>14</v>
      </c>
      <c r="L129" s="16">
        <v>100</v>
      </c>
      <c r="M129" s="24">
        <f>SUM(Table18171834[[#This Row],['# Users (Low)]]*8*12*5)</f>
        <v>48000</v>
      </c>
      <c r="N129" s="24">
        <f>SUM(D121+Table181718[[#This Row],[On Premises]]*4)</f>
        <v>198518.95666666669</v>
      </c>
      <c r="O129" s="19">
        <f>SUM(E121+Table181718[[#This Row],[Fully Hosted Cloud]]*4)</f>
        <v>277300</v>
      </c>
      <c r="P129" s="52">
        <v>2000</v>
      </c>
      <c r="Q129" s="24">
        <f>SUM(Table18171834[[#This Row],['# Users (High)]]*8*12*5)</f>
        <v>960000</v>
      </c>
      <c r="R129" s="24">
        <f>SUM(H121+Table181718[[#This Row],[On Premises ]]*4)</f>
        <v>536718.95666666667</v>
      </c>
      <c r="S129" s="19">
        <f>SUM(I121+Table181718[[#This Row],[Fully Hosted Cloud   ]]*4)</f>
        <v>615500</v>
      </c>
    </row>
    <row r="130" spans="1:19" x14ac:dyDescent="0.25">
      <c r="A130" s="8" t="s">
        <v>15</v>
      </c>
      <c r="B130" s="16">
        <v>50</v>
      </c>
      <c r="C130" s="24">
        <f>SUM(Table181718[[#This Row],['# Users (Low)]]*8*12)</f>
        <v>4800</v>
      </c>
      <c r="D130" s="24">
        <f t="shared" si="4"/>
        <v>30433.557000000001</v>
      </c>
      <c r="E130" s="19">
        <f t="shared" si="5"/>
        <v>34320</v>
      </c>
      <c r="F130" s="52">
        <v>1000</v>
      </c>
      <c r="G130" s="24">
        <f>SUM(Table181718[[#This Row],['# Users (High)]]*8*12)</f>
        <v>96000</v>
      </c>
      <c r="H130" s="24">
        <f t="shared" si="7"/>
        <v>30433.557000000001</v>
      </c>
      <c r="I130" s="19">
        <f t="shared" si="6"/>
        <v>34320</v>
      </c>
      <c r="K130" s="8" t="s">
        <v>15</v>
      </c>
      <c r="L130" s="16">
        <v>50</v>
      </c>
      <c r="M130" s="24">
        <f>SUM(Table18171834[[#This Row],['# Users (Low)]]*8*12*5)</f>
        <v>24000</v>
      </c>
      <c r="N130" s="24">
        <f>SUM(D122+Table181718[[#This Row],[On Premises]]*4)</f>
        <v>165746.63115384616</v>
      </c>
      <c r="O130" s="19">
        <f>SUM(E122+Table181718[[#This Row],[Fully Hosted Cloud]]*4)</f>
        <v>180500</v>
      </c>
      <c r="P130" s="52">
        <v>1000</v>
      </c>
      <c r="Q130" s="24">
        <f>SUM(Table18171834[[#This Row],['# Users (High)]]*8*12*5)</f>
        <v>480000</v>
      </c>
      <c r="R130" s="24">
        <f>SUM(H122+Table181718[[#This Row],[On Premises ]]*4)</f>
        <v>334846.63115384616</v>
      </c>
      <c r="S130" s="19">
        <f>SUM(I122+Table181718[[#This Row],[Fully Hosted Cloud   ]]*4)</f>
        <v>349600</v>
      </c>
    </row>
    <row r="131" spans="1:19" ht="15.75" thickBot="1" x14ac:dyDescent="0.3">
      <c r="A131" s="9" t="s">
        <v>16</v>
      </c>
      <c r="B131" s="26">
        <v>100</v>
      </c>
      <c r="C131" s="25">
        <f>SUM(Table181718[[#This Row],['# Users (Low)]]*8*12)</f>
        <v>9600</v>
      </c>
      <c r="D131" s="25">
        <f t="shared" si="4"/>
        <v>43476.51</v>
      </c>
      <c r="E131" s="21">
        <f t="shared" si="5"/>
        <v>70980</v>
      </c>
      <c r="F131" s="53">
        <v>2000</v>
      </c>
      <c r="G131" s="25">
        <f>SUM(Table181718[[#This Row],['# Users (High)]]*8*12)</f>
        <v>192000</v>
      </c>
      <c r="H131" s="24">
        <f t="shared" si="7"/>
        <v>43476.51</v>
      </c>
      <c r="I131" s="21">
        <f t="shared" si="6"/>
        <v>70980</v>
      </c>
      <c r="K131" s="9" t="s">
        <v>16</v>
      </c>
      <c r="L131" s="26">
        <v>100</v>
      </c>
      <c r="M131" s="24">
        <f>SUM(Table18171834[[#This Row],['# Users (Low)]]*8*12*5)</f>
        <v>48000</v>
      </c>
      <c r="N131" s="24">
        <f>SUM(D123+Table181718[[#This Row],[On Premises]]*4)</f>
        <v>243649.21666666667</v>
      </c>
      <c r="O131" s="19">
        <f>SUM(E123+Table181718[[#This Row],[Fully Hosted Cloud]]*4)</f>
        <v>372700</v>
      </c>
      <c r="P131" s="53">
        <v>2000</v>
      </c>
      <c r="Q131" s="24">
        <f>SUM(Table18171834[[#This Row],['# Users (High)]]*8*12*5)</f>
        <v>960000</v>
      </c>
      <c r="R131" s="24">
        <f>SUM(H123+Table181718[[#This Row],[On Premises ]]*4)</f>
        <v>581849.21666666667</v>
      </c>
      <c r="S131" s="19">
        <f>SUM(I123+Table181718[[#This Row],[Fully Hosted Cloud   ]]*4)</f>
        <v>710900</v>
      </c>
    </row>
    <row r="132" spans="1:19" x14ac:dyDescent="0.25">
      <c r="A132" s="28"/>
      <c r="B132" s="23"/>
      <c r="C132" s="24"/>
      <c r="D132" s="24"/>
      <c r="E132" s="24"/>
      <c r="F132" s="23"/>
      <c r="G132" s="24"/>
      <c r="H132" s="24"/>
      <c r="I132" s="24"/>
    </row>
    <row r="135" spans="1:19" x14ac:dyDescent="0.25">
      <c r="G135" s="87" t="s">
        <v>138</v>
      </c>
    </row>
    <row r="136" spans="1:19" x14ac:dyDescent="0.25">
      <c r="G136" s="87"/>
    </row>
    <row r="137" spans="1:19" x14ac:dyDescent="0.25">
      <c r="G137" s="87"/>
    </row>
    <row r="138" spans="1:19" x14ac:dyDescent="0.25">
      <c r="G138" s="87"/>
    </row>
    <row r="139" spans="1:19" x14ac:dyDescent="0.25">
      <c r="G139" s="87"/>
    </row>
    <row r="140" spans="1:19" x14ac:dyDescent="0.25">
      <c r="G140" s="87"/>
    </row>
    <row r="141" spans="1:19" x14ac:dyDescent="0.25">
      <c r="G141" s="87"/>
    </row>
    <row r="142" spans="1:19" x14ac:dyDescent="0.25">
      <c r="G142" s="87"/>
    </row>
    <row r="156" spans="7:7" x14ac:dyDescent="0.25">
      <c r="G156" t="s">
        <v>139</v>
      </c>
    </row>
    <row r="177" spans="7:7" x14ac:dyDescent="0.25">
      <c r="G177" t="s">
        <v>140</v>
      </c>
    </row>
    <row r="200" spans="1:24" s="56" customFormat="1" ht="16.5" thickBot="1" x14ac:dyDescent="0.3">
      <c r="A200" s="57" t="s">
        <v>248</v>
      </c>
      <c r="B200" s="58"/>
      <c r="C200" s="58"/>
      <c r="D200" s="58"/>
      <c r="E200" s="58"/>
      <c r="F200" s="58"/>
      <c r="G200" s="58"/>
      <c r="H200" s="58"/>
      <c r="I200" s="58"/>
      <c r="J200" s="58"/>
      <c r="K200" s="58"/>
      <c r="L200" s="58"/>
      <c r="M200" s="58"/>
      <c r="N200" s="58"/>
      <c r="O200" s="58"/>
      <c r="P200" s="58"/>
      <c r="Q200" s="58"/>
      <c r="R200" s="58"/>
      <c r="S200" s="58"/>
      <c r="T200" s="58"/>
      <c r="U200" s="58"/>
      <c r="V200" s="58"/>
      <c r="W200" s="58"/>
      <c r="X200" s="58"/>
    </row>
    <row r="201" spans="1:24" x14ac:dyDescent="0.25">
      <c r="A201" s="2" t="s">
        <v>263</v>
      </c>
      <c r="B201" s="27" t="s">
        <v>107</v>
      </c>
      <c r="C201" s="22"/>
      <c r="D201" s="22"/>
      <c r="E201" s="15"/>
      <c r="F201" s="27" t="s">
        <v>108</v>
      </c>
      <c r="G201" s="22"/>
      <c r="H201" s="22"/>
      <c r="I201" s="15"/>
      <c r="K201" t="s">
        <v>239</v>
      </c>
    </row>
    <row r="202" spans="1:24" x14ac:dyDescent="0.25">
      <c r="A202" t="s">
        <v>106</v>
      </c>
      <c r="B202" s="16" t="s">
        <v>110</v>
      </c>
      <c r="C202" s="23" t="s">
        <v>111</v>
      </c>
      <c r="D202" s="23" t="s">
        <v>105</v>
      </c>
      <c r="E202" s="17" t="s">
        <v>264</v>
      </c>
      <c r="F202" s="16" t="s">
        <v>109</v>
      </c>
      <c r="G202" s="23" t="s">
        <v>115</v>
      </c>
      <c r="H202" s="23" t="s">
        <v>240</v>
      </c>
      <c r="I202" s="17" t="s">
        <v>265</v>
      </c>
      <c r="K202" t="s">
        <v>266</v>
      </c>
    </row>
    <row r="203" spans="1:24" x14ac:dyDescent="0.25">
      <c r="A203" s="8" t="s">
        <v>65</v>
      </c>
      <c r="B203" s="16">
        <v>50</v>
      </c>
      <c r="C203" s="24">
        <f>SUM(Table1830[[#This Row],['# Users (Low)]]*4)</f>
        <v>200</v>
      </c>
      <c r="D203" s="24">
        <f>SUM(H6+'MS Licensing'!B$11*Table1830[[#This Row],['# Users (Low)]])</f>
        <v>8696.2693581730764</v>
      </c>
      <c r="E203" s="19">
        <f>SUM(K6+'MS Licensing'!B$11*Table1830[[#This Row],['# Users (Low)]])</f>
        <v>6420</v>
      </c>
      <c r="F203" s="52">
        <v>500</v>
      </c>
      <c r="G203" s="24">
        <f>SUM(Table1830[[#This Row],['# Users (High)]]*4)</f>
        <v>2000</v>
      </c>
      <c r="H203" s="24">
        <f>SUM(H6+'MS Licensing'!$B$11*Table1830[[#This Row],['# Users (High)]])</f>
        <v>51446.269358173078</v>
      </c>
      <c r="I203" s="19">
        <f>SUM($K6+'MS Licensing'!$B$11*Table1830[[#This Row],['# Users (High)]])</f>
        <v>49170</v>
      </c>
    </row>
    <row r="204" spans="1:24" x14ac:dyDescent="0.25">
      <c r="A204" s="8" t="s">
        <v>13</v>
      </c>
      <c r="B204" s="16">
        <v>50</v>
      </c>
      <c r="C204" s="24">
        <f>SUM(Table1830[[#This Row],['# Users (Low)]]*4)</f>
        <v>200</v>
      </c>
      <c r="D204" s="24">
        <f>SUM(H7+'MS Licensing'!B$11*Table1830[[#This Row],['# Users (Low)]])</f>
        <v>10084.607638461539</v>
      </c>
      <c r="E204" s="19">
        <f>SUM(K7+'MS Licensing'!B$11*Table1830[[#This Row],['# Users (Low)]])</f>
        <v>6910</v>
      </c>
      <c r="F204" s="52">
        <v>1000</v>
      </c>
      <c r="G204" s="24">
        <f>SUM(Table1830[[#This Row],['# Users (High)]]*4)</f>
        <v>4000</v>
      </c>
      <c r="H204" s="24">
        <f>SUM(H7+'MS Licensing'!$B$11*Table1830[[#This Row],['# Users (High)]])</f>
        <v>100334.60763846154</v>
      </c>
      <c r="I204" s="19">
        <f>SUM($K7+'MS Licensing'!$B$11*Table1830[[#This Row],['# Users (High)]])</f>
        <v>97160</v>
      </c>
    </row>
    <row r="205" spans="1:24" x14ac:dyDescent="0.25">
      <c r="A205" s="8" t="s">
        <v>14</v>
      </c>
      <c r="B205" s="16">
        <v>100</v>
      </c>
      <c r="C205" s="24">
        <f>SUM(Table1830[[#This Row],['# Users (Low)]]*4)</f>
        <v>400</v>
      </c>
      <c r="D205" s="24">
        <f>SUM(H8+'MS Licensing'!B$11*Table1830[[#This Row],['# Users (Low)]])</f>
        <v>18652.043480729168</v>
      </c>
      <c r="E205" s="19">
        <f>SUM(K8+'MS Licensing'!B$11*Table1830[[#This Row],['# Users (Low)]])</f>
        <v>13825</v>
      </c>
      <c r="F205" s="52">
        <v>2000</v>
      </c>
      <c r="G205" s="24">
        <f>SUM(Table1830[[#This Row],['# Users (High)]]*4)</f>
        <v>8000</v>
      </c>
      <c r="H205" s="24">
        <f>SUM(H8+'MS Licensing'!$B$11*Table1830[[#This Row],['# Users (High)]])</f>
        <v>199152.04348072916</v>
      </c>
      <c r="I205" s="19">
        <f>SUM($K8+'MS Licensing'!$B$11*Table1830[[#This Row],['# Users (High)]])</f>
        <v>194325</v>
      </c>
    </row>
    <row r="206" spans="1:24" x14ac:dyDescent="0.25">
      <c r="A206" s="8" t="s">
        <v>15</v>
      </c>
      <c r="B206" s="16">
        <v>50</v>
      </c>
      <c r="C206" s="24">
        <f>SUM(Table1830[[#This Row],['# Users (Low)]]*4)</f>
        <v>200</v>
      </c>
      <c r="D206" s="24">
        <f>SUM(H9+'MS Licensing'!B$11*Table1830[[#This Row],['# Users (Low)]])</f>
        <v>11157.455469711538</v>
      </c>
      <c r="E206" s="19">
        <f>SUM(K9+'MS Licensing'!B$11*Table1830[[#This Row],['# Users (Low)]])</f>
        <v>7610</v>
      </c>
      <c r="F206" s="52">
        <v>1000</v>
      </c>
      <c r="G206" s="24">
        <f>SUM(Table1830[[#This Row],['# Users (High)]]*4)</f>
        <v>4000</v>
      </c>
      <c r="H206" s="24">
        <f>SUM(H9+'MS Licensing'!$B$11*Table1830[[#This Row],['# Users (High)]])</f>
        <v>101407.45546971154</v>
      </c>
      <c r="I206" s="19">
        <f>SUM($K9+'MS Licensing'!$B$11*Table1830[[#This Row],['# Users (High)]])</f>
        <v>97860</v>
      </c>
    </row>
    <row r="207" spans="1:24" ht="15.75" thickBot="1" x14ac:dyDescent="0.3">
      <c r="A207" s="9" t="s">
        <v>16</v>
      </c>
      <c r="B207" s="26">
        <v>100</v>
      </c>
      <c r="C207" s="24">
        <f>SUM(Table1830[[#This Row],['# Users (Low)]]*4)</f>
        <v>400</v>
      </c>
      <c r="D207" s="24">
        <f>SUM(H10+'MS Licensing'!B$11*Table1830[[#This Row],['# Users (Low)]])</f>
        <v>20871.893871354168</v>
      </c>
      <c r="E207" s="19">
        <f>SUM(K10+'MS Licensing'!B$11*Table1830[[#This Row],['# Users (Low)]])</f>
        <v>15415</v>
      </c>
      <c r="F207" s="53">
        <v>2000</v>
      </c>
      <c r="G207" s="24">
        <f>SUM(Table1830[[#This Row],['# Users (High)]]*4)</f>
        <v>8000</v>
      </c>
      <c r="H207" s="24">
        <f>SUM(H10+'MS Licensing'!$B$11*Table1830[[#This Row],['# Users (High)]])</f>
        <v>201371.89387135417</v>
      </c>
      <c r="I207" s="19">
        <f>SUM($K10+'MS Licensing'!$B$11*Table1830[[#This Row],['# Users (High)]])</f>
        <v>195915</v>
      </c>
    </row>
    <row r="208" spans="1:24" ht="15.75" thickBot="1" x14ac:dyDescent="0.3"/>
    <row r="209" spans="1:19" x14ac:dyDescent="0.25">
      <c r="A209" s="2" t="s">
        <v>267</v>
      </c>
      <c r="B209" s="27" t="s">
        <v>107</v>
      </c>
      <c r="C209" s="22"/>
      <c r="D209" s="22"/>
      <c r="E209" s="15"/>
      <c r="F209" s="27" t="s">
        <v>108</v>
      </c>
      <c r="G209" s="22"/>
      <c r="H209" s="22"/>
      <c r="I209" s="15"/>
      <c r="K209" s="2" t="s">
        <v>216</v>
      </c>
      <c r="L209" s="27" t="s">
        <v>107</v>
      </c>
      <c r="M209" s="22"/>
      <c r="N209" s="22"/>
      <c r="O209" s="15"/>
      <c r="P209" s="27" t="s">
        <v>108</v>
      </c>
      <c r="Q209" s="22"/>
      <c r="R209" s="22"/>
      <c r="S209" s="15"/>
    </row>
    <row r="210" spans="1:19" x14ac:dyDescent="0.25">
      <c r="A210" t="s">
        <v>106</v>
      </c>
      <c r="B210" s="16" t="s">
        <v>110</v>
      </c>
      <c r="C210" s="23" t="s">
        <v>111</v>
      </c>
      <c r="D210" s="23" t="s">
        <v>105</v>
      </c>
      <c r="E210" s="17" t="s">
        <v>264</v>
      </c>
      <c r="F210" s="16" t="s">
        <v>109</v>
      </c>
      <c r="G210" s="23" t="s">
        <v>115</v>
      </c>
      <c r="H210" s="23" t="s">
        <v>240</v>
      </c>
      <c r="I210" s="17" t="s">
        <v>265</v>
      </c>
      <c r="K210" t="s">
        <v>106</v>
      </c>
      <c r="L210" s="16" t="s">
        <v>110</v>
      </c>
      <c r="M210" s="23" t="s">
        <v>111</v>
      </c>
      <c r="N210" s="23" t="s">
        <v>105</v>
      </c>
      <c r="O210" s="23" t="s">
        <v>264</v>
      </c>
      <c r="P210" s="23" t="s">
        <v>109</v>
      </c>
      <c r="Q210" s="23" t="s">
        <v>115</v>
      </c>
      <c r="R210" s="23" t="s">
        <v>240</v>
      </c>
      <c r="S210" s="49" t="s">
        <v>268</v>
      </c>
    </row>
    <row r="211" spans="1:19" x14ac:dyDescent="0.25">
      <c r="A211" s="8" t="s">
        <v>65</v>
      </c>
      <c r="B211" s="16">
        <v>50</v>
      </c>
      <c r="C211" s="24">
        <f>SUM(Table181731[[#This Row],['# Users (Low)]]*4*12)</f>
        <v>2400</v>
      </c>
      <c r="D211" s="24">
        <f>SUM(G6+'MS Licensing'!B$11*Table181731[[#This Row],['# Users (Low)]])</f>
        <v>25010.411692307694</v>
      </c>
      <c r="E211" s="19">
        <f>SUM(L6+'MS Licensing'!B$11*Table181731[[#This Row],['# Users (Low)]])</f>
        <v>24790</v>
      </c>
      <c r="F211" s="52">
        <v>500</v>
      </c>
      <c r="G211" s="24">
        <f>SUM(Table181731[[#This Row],['# Users (High)]]*4*12)</f>
        <v>24000</v>
      </c>
      <c r="H211" s="24">
        <f>SUM(G6+'MS Licensing'!B$11*Table181731[[#This Row],['# Users (High)]])</f>
        <v>67760.411692307694</v>
      </c>
      <c r="I211" s="19">
        <f>SUM(L6+'MS Licensing'!B$11*Table181731[[#This Row],['# Users (High)]])</f>
        <v>67540</v>
      </c>
      <c r="K211" s="8" t="s">
        <v>65</v>
      </c>
      <c r="L211" s="16">
        <v>50</v>
      </c>
      <c r="M211" s="24">
        <f>SUM(Table34[[#This Row],['# Users (Low)]]*4*12*3)</f>
        <v>7200</v>
      </c>
      <c r="N211" s="24">
        <f>SUM(Table181731[[#This Row],[On Premises]]+2*D219)</f>
        <v>59791.6196923077</v>
      </c>
      <c r="O211" s="24">
        <f>SUM(Table181731[[#This Row],[Fully Hosted Cloud]]+E219*2)</f>
        <v>64870</v>
      </c>
      <c r="P211" s="52">
        <v>500</v>
      </c>
      <c r="Q211" s="24">
        <f>SUM(Table35[[#This Row],['# Users (High)]]*4*12*3)</f>
        <v>72000</v>
      </c>
      <c r="R211" s="24">
        <f>SUM(Table181731[[#This Row],[On Premises ]]+H219*2)</f>
        <v>102541.61969230769</v>
      </c>
      <c r="S211" s="50">
        <f>SUM(Table181731[[#This Row],[Fully Hosted Cloud ]]+I219*2)</f>
        <v>107620</v>
      </c>
    </row>
    <row r="212" spans="1:19" x14ac:dyDescent="0.25">
      <c r="A212" s="8" t="s">
        <v>13</v>
      </c>
      <c r="B212" s="16">
        <v>50</v>
      </c>
      <c r="C212" s="24">
        <f>SUM(Table181731[[#This Row],['# Users (Low)]]*4*12)</f>
        <v>2400</v>
      </c>
      <c r="D212" s="24">
        <f>SUM(G7+'MS Licensing'!B$11*Table181731[[#This Row],['# Users (Low)]])</f>
        <v>34732.444461538456</v>
      </c>
      <c r="E212" s="19">
        <f>SUM(L7+'MS Licensing'!B$11*Table181731[[#This Row],['# Users (Low)]])</f>
        <v>30670</v>
      </c>
      <c r="F212" s="52">
        <v>1000</v>
      </c>
      <c r="G212" s="24">
        <f>SUM(Table181731[[#This Row],['# Users (High)]]*4*12)</f>
        <v>48000</v>
      </c>
      <c r="H212" s="24">
        <f>SUM(G7+'MS Licensing'!B$11*Table181731[[#This Row],['# Users (High)]])</f>
        <v>124982.44446153846</v>
      </c>
      <c r="I212" s="19">
        <f>SUM(L7+'MS Licensing'!B$11*Table181731[[#This Row],['# Users (High)]])</f>
        <v>120920</v>
      </c>
      <c r="K212" s="8" t="s">
        <v>13</v>
      </c>
      <c r="L212" s="16">
        <v>50</v>
      </c>
      <c r="M212" s="24">
        <f>SUM(Table34[[#This Row],['# Users (Low)]]*4*12*3)</f>
        <v>7200</v>
      </c>
      <c r="N212" s="24">
        <f>SUM(Table181731[[#This Row],[On Premises]]+2*D220)</f>
        <v>86904.256461538462</v>
      </c>
      <c r="O212" s="24">
        <f>SUM(Table181731[[#This Row],[Fully Hosted Cloud]]+E220*2)</f>
        <v>82510</v>
      </c>
      <c r="P212" s="52">
        <v>1000</v>
      </c>
      <c r="Q212" s="24">
        <f>SUM(Table35[[#This Row],['# Users (High)]]*4*12*3)</f>
        <v>144000</v>
      </c>
      <c r="R212" s="24">
        <f>SUM(Table181731[[#This Row],[On Premises ]]+H220*2)</f>
        <v>177154.25646153846</v>
      </c>
      <c r="S212" s="50">
        <f>SUM(Table181731[[#This Row],[Fully Hosted Cloud ]]+I220*2)</f>
        <v>172760</v>
      </c>
    </row>
    <row r="213" spans="1:19" x14ac:dyDescent="0.25">
      <c r="A213" s="8" t="s">
        <v>14</v>
      </c>
      <c r="B213" s="16">
        <v>100</v>
      </c>
      <c r="C213" s="24">
        <f>SUM(Table181731[[#This Row],['# Users (Low)]]*4*12)</f>
        <v>4800</v>
      </c>
      <c r="D213" s="24">
        <f>SUM(G8+'MS Licensing'!B$11*Table181731[[#This Row],['# Users (Low)]])</f>
        <v>51094.12466666667</v>
      </c>
      <c r="E213" s="19">
        <f>SUM(L8+'MS Licensing'!B$11*Table181731[[#This Row],['# Users (Low)]])</f>
        <v>61400</v>
      </c>
      <c r="F213" s="52">
        <v>2000</v>
      </c>
      <c r="G213" s="24">
        <f>SUM(Table181731[[#This Row],['# Users (High)]]*4*12)</f>
        <v>96000</v>
      </c>
      <c r="H213" s="24">
        <f>SUM(G8+'MS Licensing'!B$11*Table181731[[#This Row],['# Users (High)]])</f>
        <v>231594.12466666667</v>
      </c>
      <c r="I213" s="19">
        <f>SUM(L8+'MS Licensing'!B$11*Table181731[[#This Row],['# Users (High)]])</f>
        <v>241900</v>
      </c>
      <c r="K213" s="8" t="s">
        <v>14</v>
      </c>
      <c r="L213" s="16">
        <v>100</v>
      </c>
      <c r="M213" s="24">
        <f>SUM(Table34[[#This Row],['# Users (Low)]]*4*12*3)</f>
        <v>14400</v>
      </c>
      <c r="N213" s="24">
        <f>SUM(Table181731[[#This Row],[On Premises]]+2*D221)</f>
        <v>120656.54066666668</v>
      </c>
      <c r="O213" s="24">
        <f>SUM(Table181731[[#This Row],[Fully Hosted Cloud]]+E221*2)</f>
        <v>165200</v>
      </c>
      <c r="P213" s="52">
        <v>2000</v>
      </c>
      <c r="Q213" s="24">
        <f>SUM(Table35[[#This Row],['# Users (High)]]*4*12*3)</f>
        <v>288000</v>
      </c>
      <c r="R213" s="24">
        <f>SUM(Table181731[[#This Row],[On Premises ]]+H221*2)</f>
        <v>301156.5406666667</v>
      </c>
      <c r="S213" s="50">
        <f>SUM(Table181731[[#This Row],[Fully Hosted Cloud ]]+I221*2)</f>
        <v>345700</v>
      </c>
    </row>
    <row r="214" spans="1:19" x14ac:dyDescent="0.25">
      <c r="A214" s="8" t="s">
        <v>15</v>
      </c>
      <c r="B214" s="16">
        <v>50</v>
      </c>
      <c r="C214" s="24">
        <f>SUM(Table181731[[#This Row],['# Users (Low)]]*4*12)</f>
        <v>2400</v>
      </c>
      <c r="D214" s="24">
        <f>SUM(G9+'MS Licensing'!B$11*Table181731[[#This Row],['# Users (Low)]])</f>
        <v>39862.403153846157</v>
      </c>
      <c r="E214" s="19">
        <f>SUM(L9+'MS Licensing'!B$11*Table181731[[#This Row],['# Users (Low)]])</f>
        <v>39070</v>
      </c>
      <c r="F214" s="52">
        <v>1000</v>
      </c>
      <c r="G214" s="24">
        <f>SUM(Table181731[[#This Row],['# Users (High)]]*4*12)</f>
        <v>48000</v>
      </c>
      <c r="H214" s="24">
        <f>SUM(G9+'MS Licensing'!B$11*Table181731[[#This Row],['# Users (High)]])</f>
        <v>130112.40315384616</v>
      </c>
      <c r="I214" s="19">
        <f>SUM(L9+'MS Licensing'!B$11*Table181731[[#This Row],['# Users (High)]])</f>
        <v>129320</v>
      </c>
      <c r="K214" s="8" t="s">
        <v>15</v>
      </c>
      <c r="L214" s="16">
        <v>50</v>
      </c>
      <c r="M214" s="24">
        <f>SUM(Table34[[#This Row],['# Users (Low)]]*4*12*3)</f>
        <v>7200</v>
      </c>
      <c r="N214" s="24">
        <f>SUM(Table181731[[#This Row],[On Premises]]+2*D222)</f>
        <v>100729.51715384616</v>
      </c>
      <c r="O214" s="24">
        <f>SUM(Table181731[[#This Row],[Fully Hosted Cloud]]+E222*2)</f>
        <v>107710</v>
      </c>
      <c r="P214" s="52">
        <v>1000</v>
      </c>
      <c r="Q214" s="24">
        <f>SUM(Table35[[#This Row],['# Users (High)]]*4*12*3)</f>
        <v>144000</v>
      </c>
      <c r="R214" s="24">
        <f>SUM(Table181731[[#This Row],[On Premises ]]+H222*2)</f>
        <v>190979.51715384616</v>
      </c>
      <c r="S214" s="50">
        <f>SUM(Table181731[[#This Row],[Fully Hosted Cloud ]]+I222*2)</f>
        <v>197960</v>
      </c>
    </row>
    <row r="215" spans="1:19" ht="15.75" thickBot="1" x14ac:dyDescent="0.3">
      <c r="A215" s="9" t="s">
        <v>16</v>
      </c>
      <c r="B215" s="26">
        <v>100</v>
      </c>
      <c r="C215" s="24">
        <f>SUM(Table181731[[#This Row],['# Users (Low)]]*4*12)</f>
        <v>4800</v>
      </c>
      <c r="D215" s="24">
        <f>SUM(G10+'MS Licensing'!B$11*Table181731[[#This Row],['# Users (Low)]])</f>
        <v>61443.176666666666</v>
      </c>
      <c r="E215" s="19">
        <f>SUM(L10+'MS Licensing'!B$11*Table181731[[#This Row],['# Users (Low)]])</f>
        <v>80480</v>
      </c>
      <c r="F215" s="53">
        <v>2000</v>
      </c>
      <c r="G215" s="24">
        <f>SUM(Table181731[[#This Row],['# Users (High)]]*4*12)</f>
        <v>96000</v>
      </c>
      <c r="H215" s="24">
        <f>SUM(G10+'MS Licensing'!B$11*Table181731[[#This Row],['# Users (High)]])</f>
        <v>241943.17666666667</v>
      </c>
      <c r="I215" s="19">
        <f>SUM(L10+'MS Licensing'!B$11*Table181731[[#This Row],['# Users (High)]])</f>
        <v>260980</v>
      </c>
      <c r="K215" s="9" t="s">
        <v>16</v>
      </c>
      <c r="L215" s="26">
        <v>100</v>
      </c>
      <c r="M215" s="24">
        <f>SUM(Table34[[#This Row],['# Users (Low)]]*4*12*3)</f>
        <v>14400</v>
      </c>
      <c r="N215" s="24">
        <f>SUM(Table181731[[#This Row],[On Premises]]+2*D223)</f>
        <v>148396.19666666666</v>
      </c>
      <c r="O215" s="24">
        <f>SUM(Table181731[[#This Row],[Fully Hosted Cloud]]+E223*2)</f>
        <v>222440</v>
      </c>
      <c r="P215" s="53">
        <v>2000</v>
      </c>
      <c r="Q215" s="24">
        <f>SUM(Table35[[#This Row],['# Users (High)]]*4*12*3)</f>
        <v>288000</v>
      </c>
      <c r="R215" s="24">
        <f>SUM(Table181731[[#This Row],[On Premises ]]+H223*2)</f>
        <v>328896.19666666666</v>
      </c>
      <c r="S215" s="51">
        <f>SUM(Table181731[[#This Row],[Fully Hosted Cloud ]]+I223*2)</f>
        <v>402940</v>
      </c>
    </row>
    <row r="216" spans="1:19" ht="15.75" thickBot="1" x14ac:dyDescent="0.3"/>
    <row r="217" spans="1:19" x14ac:dyDescent="0.25">
      <c r="A217" s="2" t="s">
        <v>269</v>
      </c>
      <c r="B217" s="27" t="s">
        <v>107</v>
      </c>
      <c r="C217" s="22"/>
      <c r="D217" s="22"/>
      <c r="E217" s="15"/>
      <c r="F217" s="27" t="s">
        <v>108</v>
      </c>
      <c r="G217" s="22"/>
      <c r="H217" s="22"/>
      <c r="I217" s="15"/>
      <c r="K217" s="2" t="s">
        <v>215</v>
      </c>
      <c r="L217" s="27" t="s">
        <v>107</v>
      </c>
      <c r="M217" s="22"/>
      <c r="N217" s="22"/>
      <c r="O217" s="15"/>
      <c r="P217" s="27" t="s">
        <v>108</v>
      </c>
      <c r="Q217" s="22"/>
      <c r="R217" s="22"/>
      <c r="S217" s="15"/>
    </row>
    <row r="218" spans="1:19" x14ac:dyDescent="0.25">
      <c r="A218" t="s">
        <v>106</v>
      </c>
      <c r="B218" s="16" t="s">
        <v>110</v>
      </c>
      <c r="C218" s="23" t="s">
        <v>111</v>
      </c>
      <c r="D218" s="23" t="s">
        <v>105</v>
      </c>
      <c r="E218" s="17" t="s">
        <v>264</v>
      </c>
      <c r="F218" s="16" t="s">
        <v>109</v>
      </c>
      <c r="G218" s="23" t="s">
        <v>115</v>
      </c>
      <c r="H218" s="23" t="s">
        <v>240</v>
      </c>
      <c r="I218" s="17" t="s">
        <v>265</v>
      </c>
      <c r="K218" t="s">
        <v>106</v>
      </c>
      <c r="L218" s="16" t="s">
        <v>110</v>
      </c>
      <c r="M218" s="23" t="s">
        <v>111</v>
      </c>
      <c r="N218" s="23" t="s">
        <v>105</v>
      </c>
      <c r="O218" s="23" t="s">
        <v>264</v>
      </c>
      <c r="P218" s="23" t="s">
        <v>109</v>
      </c>
      <c r="Q218" s="23" t="s">
        <v>115</v>
      </c>
      <c r="R218" s="23" t="s">
        <v>240</v>
      </c>
      <c r="S218" s="49" t="s">
        <v>270</v>
      </c>
    </row>
    <row r="219" spans="1:19" x14ac:dyDescent="0.25">
      <c r="A219" s="8" t="s">
        <v>65</v>
      </c>
      <c r="B219" s="16">
        <v>50</v>
      </c>
      <c r="C219" s="24">
        <f>SUM(Table18171832[[#This Row],['# Users (Low)]]*4*12)</f>
        <v>2400</v>
      </c>
      <c r="D219" s="24">
        <f>E6</f>
        <v>17390.604000000003</v>
      </c>
      <c r="E219" s="19">
        <f>L6</f>
        <v>20040</v>
      </c>
      <c r="F219" s="52">
        <v>500</v>
      </c>
      <c r="G219" s="24">
        <f>SUM(Table18171832[[#This Row],['# Users (High)]]*4*12)</f>
        <v>24000</v>
      </c>
      <c r="H219" s="24">
        <f>E6</f>
        <v>17390.604000000003</v>
      </c>
      <c r="I219" s="19">
        <f>L6</f>
        <v>20040</v>
      </c>
      <c r="K219" s="8" t="s">
        <v>65</v>
      </c>
      <c r="L219" s="16">
        <v>50</v>
      </c>
      <c r="M219" s="24">
        <f>SUM(Table36[[#This Row],['# Users (Low)]]*4*12*5)</f>
        <v>12000</v>
      </c>
      <c r="N219" s="24">
        <f>SUM(D211+Table18171832[[#This Row],[On Premises]]*4)</f>
        <v>94572.827692307706</v>
      </c>
      <c r="O219" s="24">
        <f>SUM(E211+Table18171832[[#This Row],[Fully Hosted Cloud]]*4)</f>
        <v>104950</v>
      </c>
      <c r="P219" s="52">
        <v>500</v>
      </c>
      <c r="Q219" s="24">
        <f>SUM(Table37[[#This Row],['# Users (High)]]*4*12*5)</f>
        <v>120000</v>
      </c>
      <c r="R219" s="24">
        <f>SUM(H211+Table18171832[[#This Row],[On Premises ]]*4)</f>
        <v>137322.82769230771</v>
      </c>
      <c r="S219" s="50">
        <f>SUM(I211+Table18171832[[#This Row],[Fully Hosted Cloud ]]*4)</f>
        <v>147700</v>
      </c>
    </row>
    <row r="220" spans="1:19" x14ac:dyDescent="0.25">
      <c r="A220" s="8" t="s">
        <v>13</v>
      </c>
      <c r="B220" s="16">
        <v>50</v>
      </c>
      <c r="C220" s="24">
        <f>SUM(Table18171832[[#This Row],['# Users (Low)]]*4*12)</f>
        <v>2400</v>
      </c>
      <c r="D220" s="24">
        <f t="shared" ref="D220:D223" si="8">E7</f>
        <v>26085.905999999999</v>
      </c>
      <c r="E220" s="19">
        <f t="shared" ref="E220:E223" si="9">L7</f>
        <v>25920</v>
      </c>
      <c r="F220" s="52">
        <v>1000</v>
      </c>
      <c r="G220" s="24">
        <f>SUM(Table18171832[[#This Row],['# Users (High)]]*4*12)</f>
        <v>48000</v>
      </c>
      <c r="H220" s="24">
        <f t="shared" ref="H220:H223" si="10">E7</f>
        <v>26085.905999999999</v>
      </c>
      <c r="I220" s="19">
        <f t="shared" ref="I220:I223" si="11">L7</f>
        <v>25920</v>
      </c>
      <c r="K220" s="8" t="s">
        <v>13</v>
      </c>
      <c r="L220" s="16">
        <v>50</v>
      </c>
      <c r="M220" s="24">
        <f>SUM(Table36[[#This Row],['# Users (Low)]]*4*12*5)</f>
        <v>12000</v>
      </c>
      <c r="N220" s="24">
        <f>SUM(D212+Table18171832[[#This Row],[On Premises]]*4)</f>
        <v>139076.06846153847</v>
      </c>
      <c r="O220" s="24">
        <f>SUM(E212+Table18171832[[#This Row],[Fully Hosted Cloud]]*4)</f>
        <v>134350</v>
      </c>
      <c r="P220" s="52">
        <v>1000</v>
      </c>
      <c r="Q220" s="24">
        <f>SUM(Table37[[#This Row],['# Users (High)]]*4*12*5)</f>
        <v>240000</v>
      </c>
      <c r="R220" s="24">
        <f>SUM(H212+Table18171832[[#This Row],[On Premises ]]*4)</f>
        <v>229326.06846153847</v>
      </c>
      <c r="S220" s="50">
        <f>SUM(I212+Table18171832[[#This Row],[Fully Hosted Cloud ]]*4)</f>
        <v>224600</v>
      </c>
    </row>
    <row r="221" spans="1:19" x14ac:dyDescent="0.25">
      <c r="A221" s="8" t="s">
        <v>14</v>
      </c>
      <c r="B221" s="16">
        <v>100</v>
      </c>
      <c r="C221" s="24">
        <f>SUM(Table18171832[[#This Row],['# Users (Low)]]*4*12)</f>
        <v>4800</v>
      </c>
      <c r="D221" s="24">
        <f t="shared" si="8"/>
        <v>34781.208000000006</v>
      </c>
      <c r="E221" s="19">
        <f t="shared" si="9"/>
        <v>51900</v>
      </c>
      <c r="F221" s="52">
        <v>2000</v>
      </c>
      <c r="G221" s="24">
        <f>SUM(Table18171832[[#This Row],['# Users (High)]]*4*12)</f>
        <v>96000</v>
      </c>
      <c r="H221" s="24">
        <f t="shared" si="10"/>
        <v>34781.208000000006</v>
      </c>
      <c r="I221" s="19">
        <f t="shared" si="11"/>
        <v>51900</v>
      </c>
      <c r="K221" s="8" t="s">
        <v>14</v>
      </c>
      <c r="L221" s="16">
        <v>100</v>
      </c>
      <c r="M221" s="24">
        <f>SUM(Table36[[#This Row],['# Users (Low)]]*4*12*5)</f>
        <v>24000</v>
      </c>
      <c r="N221" s="24">
        <f>SUM(D213+Table18171832[[#This Row],[On Premises]]*4)</f>
        <v>190218.95666666669</v>
      </c>
      <c r="O221" s="24">
        <f>SUM(E213+Table18171832[[#This Row],[Fully Hosted Cloud]]*4)</f>
        <v>269000</v>
      </c>
      <c r="P221" s="52">
        <v>2000</v>
      </c>
      <c r="Q221" s="24">
        <f>SUM(Table37[[#This Row],['# Users (High)]]*4*12*5)</f>
        <v>480000</v>
      </c>
      <c r="R221" s="24">
        <f>SUM(H213+Table18171832[[#This Row],[On Premises ]]*4)</f>
        <v>370718.95666666667</v>
      </c>
      <c r="S221" s="50">
        <f>SUM(I213+Table18171832[[#This Row],[Fully Hosted Cloud ]]*4)</f>
        <v>449500</v>
      </c>
    </row>
    <row r="222" spans="1:19" x14ac:dyDescent="0.25">
      <c r="A222" s="8" t="s">
        <v>15</v>
      </c>
      <c r="B222" s="16">
        <v>50</v>
      </c>
      <c r="C222" s="24">
        <f>SUM(Table18171832[[#This Row],['# Users (Low)]]*4*12)</f>
        <v>2400</v>
      </c>
      <c r="D222" s="24">
        <f t="shared" si="8"/>
        <v>30433.557000000001</v>
      </c>
      <c r="E222" s="19">
        <f t="shared" si="9"/>
        <v>34320</v>
      </c>
      <c r="F222" s="52">
        <v>1000</v>
      </c>
      <c r="G222" s="24">
        <f>SUM(Table18171832[[#This Row],['# Users (High)]]*4*12)</f>
        <v>48000</v>
      </c>
      <c r="H222" s="24">
        <f t="shared" si="10"/>
        <v>30433.557000000001</v>
      </c>
      <c r="I222" s="19">
        <f t="shared" si="11"/>
        <v>34320</v>
      </c>
      <c r="K222" s="8" t="s">
        <v>15</v>
      </c>
      <c r="L222" s="16">
        <v>50</v>
      </c>
      <c r="M222" s="24">
        <f>SUM(Table36[[#This Row],['# Users (Low)]]*4*12*5)</f>
        <v>12000</v>
      </c>
      <c r="N222" s="24">
        <f>SUM(D214+Table18171832[[#This Row],[On Premises]]*4)</f>
        <v>161596.63115384616</v>
      </c>
      <c r="O222" s="24">
        <f>SUM(E214+Table18171832[[#This Row],[Fully Hosted Cloud]]*4)</f>
        <v>176350</v>
      </c>
      <c r="P222" s="52">
        <v>1000</v>
      </c>
      <c r="Q222" s="24">
        <f>SUM(Table37[[#This Row],['# Users (High)]]*4*12*5)</f>
        <v>240000</v>
      </c>
      <c r="R222" s="24">
        <f>SUM(H214+Table18171832[[#This Row],[On Premises ]]*4)</f>
        <v>251846.63115384616</v>
      </c>
      <c r="S222" s="50">
        <f>SUM(I214+Table18171832[[#This Row],[Fully Hosted Cloud ]]*4)</f>
        <v>266600</v>
      </c>
    </row>
    <row r="223" spans="1:19" ht="15.75" thickBot="1" x14ac:dyDescent="0.3">
      <c r="A223" s="9" t="s">
        <v>16</v>
      </c>
      <c r="B223" s="26">
        <v>100</v>
      </c>
      <c r="C223" s="24">
        <f>SUM(Table18171832[[#This Row],['# Users (Low)]]*4*12)</f>
        <v>4800</v>
      </c>
      <c r="D223" s="24">
        <f t="shared" si="8"/>
        <v>43476.51</v>
      </c>
      <c r="E223" s="19">
        <f t="shared" si="9"/>
        <v>70980</v>
      </c>
      <c r="F223" s="53">
        <v>2000</v>
      </c>
      <c r="G223" s="24">
        <f>SUM(Table18171832[[#This Row],['# Users (High)]]*4*12)</f>
        <v>96000</v>
      </c>
      <c r="H223" s="24">
        <f t="shared" si="10"/>
        <v>43476.51</v>
      </c>
      <c r="I223" s="19">
        <f t="shared" si="11"/>
        <v>70980</v>
      </c>
      <c r="K223" s="9" t="s">
        <v>16</v>
      </c>
      <c r="L223" s="26">
        <v>100</v>
      </c>
      <c r="M223" s="24">
        <f>SUM(Table36[[#This Row],['# Users (Low)]]*4*12*5)</f>
        <v>24000</v>
      </c>
      <c r="N223" s="24">
        <f>SUM(D215+Table18171832[[#This Row],[On Premises]]*4)</f>
        <v>235349.21666666667</v>
      </c>
      <c r="O223" s="24">
        <f>SUM(E215+Table18171832[[#This Row],[Fully Hosted Cloud]]*4)</f>
        <v>364400</v>
      </c>
      <c r="P223" s="53">
        <v>2000</v>
      </c>
      <c r="Q223" s="24">
        <f>SUM(Table37[[#This Row],['# Users (High)]]*4*12*5)</f>
        <v>480000</v>
      </c>
      <c r="R223" s="24">
        <f>SUM(H215+Table18171832[[#This Row],[On Premises ]]*4)</f>
        <v>415849.21666666667</v>
      </c>
      <c r="S223" s="51">
        <f>SUM(I215+Table18171832[[#This Row],[Fully Hosted Cloud ]]*4)</f>
        <v>544900</v>
      </c>
    </row>
    <row r="224" spans="1:19" x14ac:dyDescent="0.25">
      <c r="A224" s="28"/>
      <c r="B224" s="23"/>
      <c r="C224" s="24"/>
      <c r="D224" s="24"/>
      <c r="E224" s="24"/>
      <c r="F224" s="23"/>
      <c r="G224" s="24"/>
      <c r="H224" s="24"/>
      <c r="I224" s="24"/>
    </row>
    <row r="227" spans="7:7" x14ac:dyDescent="0.25">
      <c r="G227" s="87" t="s">
        <v>138</v>
      </c>
    </row>
    <row r="228" spans="7:7" x14ac:dyDescent="0.25">
      <c r="G228" s="87"/>
    </row>
    <row r="229" spans="7:7" x14ac:dyDescent="0.25">
      <c r="G229" s="87"/>
    </row>
    <row r="230" spans="7:7" x14ac:dyDescent="0.25">
      <c r="G230" s="87"/>
    </row>
    <row r="231" spans="7:7" x14ac:dyDescent="0.25">
      <c r="G231" s="87"/>
    </row>
    <row r="232" spans="7:7" x14ac:dyDescent="0.25">
      <c r="G232" s="87"/>
    </row>
    <row r="233" spans="7:7" x14ac:dyDescent="0.25">
      <c r="G233" s="87"/>
    </row>
    <row r="234" spans="7:7" x14ac:dyDescent="0.25">
      <c r="G234" s="87"/>
    </row>
    <row r="248" spans="7:7" x14ac:dyDescent="0.25">
      <c r="G248" t="s">
        <v>139</v>
      </c>
    </row>
    <row r="269" spans="7:7" x14ac:dyDescent="0.25">
      <c r="G269" t="s">
        <v>140</v>
      </c>
    </row>
    <row r="292" spans="1:24" ht="16.5" thickBot="1" x14ac:dyDescent="0.3">
      <c r="A292" s="61" t="s">
        <v>249</v>
      </c>
      <c r="B292" s="62"/>
      <c r="C292" s="62"/>
      <c r="D292" s="62"/>
      <c r="E292" s="62"/>
      <c r="F292" s="62"/>
      <c r="G292" s="62"/>
      <c r="H292" s="62"/>
      <c r="I292" s="62"/>
      <c r="J292" s="62"/>
      <c r="K292" s="62"/>
      <c r="L292" s="62"/>
      <c r="M292" s="62"/>
      <c r="N292" s="62"/>
      <c r="O292" s="62"/>
      <c r="P292" s="62"/>
      <c r="Q292" s="62"/>
      <c r="R292" s="62"/>
      <c r="S292" s="62"/>
      <c r="T292" s="62"/>
      <c r="U292" s="62"/>
      <c r="V292" s="62"/>
      <c r="W292" s="62"/>
      <c r="X292" s="62"/>
    </row>
    <row r="293" spans="1:24" x14ac:dyDescent="0.25">
      <c r="A293" s="2" t="s">
        <v>263</v>
      </c>
      <c r="B293" s="27" t="s">
        <v>107</v>
      </c>
      <c r="C293" s="22"/>
      <c r="D293" s="22"/>
      <c r="E293" s="15"/>
      <c r="F293" s="27" t="s">
        <v>108</v>
      </c>
      <c r="G293" s="22"/>
      <c r="H293" s="22"/>
      <c r="I293" s="15"/>
      <c r="K293" t="s">
        <v>239</v>
      </c>
    </row>
    <row r="294" spans="1:24" x14ac:dyDescent="0.25">
      <c r="A294" t="s">
        <v>106</v>
      </c>
      <c r="B294" s="16" t="s">
        <v>110</v>
      </c>
      <c r="C294" s="23" t="s">
        <v>111</v>
      </c>
      <c r="D294" s="23" t="s">
        <v>105</v>
      </c>
      <c r="E294" s="17" t="s">
        <v>264</v>
      </c>
      <c r="F294" s="16" t="s">
        <v>109</v>
      </c>
      <c r="G294" s="23" t="s">
        <v>115</v>
      </c>
      <c r="H294" s="23" t="s">
        <v>240</v>
      </c>
      <c r="I294" s="17" t="s">
        <v>265</v>
      </c>
      <c r="K294" t="s">
        <v>242</v>
      </c>
    </row>
    <row r="295" spans="1:24" x14ac:dyDescent="0.25">
      <c r="A295" s="8" t="s">
        <v>65</v>
      </c>
      <c r="B295" s="16">
        <v>50</v>
      </c>
      <c r="C295" s="24">
        <f>SUM(Table1839[[#This Row],['# Users (Low)]]*8)</f>
        <v>400</v>
      </c>
      <c r="D295" s="24">
        <f>SUM(H6+'MS Licensing'!D$13*Table1839[[#This Row],['# Users (Low)]])</f>
        <v>17296.269358173078</v>
      </c>
      <c r="E295" s="19">
        <f>SUM(K6+'MS Licensing'!D$13*Table1839[[#This Row],['# Users (Low)]])</f>
        <v>15020</v>
      </c>
      <c r="F295" s="52">
        <v>500</v>
      </c>
      <c r="G295" s="24">
        <f>SUM(Table1839[[#This Row],['# Users (High)]]*8)</f>
        <v>4000</v>
      </c>
      <c r="H295" s="24">
        <f>SUM(H6+'MS Licensing'!$D$13*Table1839[[#This Row],['# Users (High)]])</f>
        <v>137446.26935817307</v>
      </c>
      <c r="I295" s="19">
        <f>SUM($K6+'MS Licensing'!$D$13*Table1839[[#This Row],['# Users (High)]])</f>
        <v>135170</v>
      </c>
      <c r="K295" t="s">
        <v>266</v>
      </c>
    </row>
    <row r="296" spans="1:24" x14ac:dyDescent="0.25">
      <c r="A296" s="8" t="s">
        <v>13</v>
      </c>
      <c r="B296" s="16">
        <v>50</v>
      </c>
      <c r="C296" s="24">
        <f>SUM(Table1839[[#This Row],['# Users (Low)]]*8)</f>
        <v>400</v>
      </c>
      <c r="D296" s="24">
        <f>SUM(H7+'MS Licensing'!D$13*Table1839[[#This Row],['# Users (Low)]])</f>
        <v>18684.607638461537</v>
      </c>
      <c r="E296" s="19">
        <f>SUM(K7+'MS Licensing'!D$13*Table1839[[#This Row],['# Users (Low)]])</f>
        <v>15510</v>
      </c>
      <c r="F296" s="52">
        <v>1000</v>
      </c>
      <c r="G296" s="24">
        <f>SUM(Table1839[[#This Row],['# Users (High)]]*8)</f>
        <v>8000</v>
      </c>
      <c r="H296" s="24">
        <f>SUM(H7+'MS Licensing'!$D$13*Table1839[[#This Row],['# Users (High)]])</f>
        <v>272334.60763846152</v>
      </c>
      <c r="I296" s="19">
        <f>SUM($K7+'MS Licensing'!$D$13*Table1839[[#This Row],['# Users (High)]])</f>
        <v>269160</v>
      </c>
    </row>
    <row r="297" spans="1:24" x14ac:dyDescent="0.25">
      <c r="A297" s="8" t="s">
        <v>14</v>
      </c>
      <c r="B297" s="16">
        <v>100</v>
      </c>
      <c r="C297" s="24">
        <f>SUM(Table1839[[#This Row],['# Users (Low)]]*8)</f>
        <v>800</v>
      </c>
      <c r="D297" s="24">
        <f>SUM(H8+'MS Licensing'!D$13*Table1839[[#This Row],['# Users (Low)]])</f>
        <v>35852.043480729168</v>
      </c>
      <c r="E297" s="19">
        <f>SUM(K8+'MS Licensing'!D$13*Table1839[[#This Row],['# Users (Low)]])</f>
        <v>31025</v>
      </c>
      <c r="F297" s="52">
        <v>2000</v>
      </c>
      <c r="G297" s="24">
        <f>SUM(Table1839[[#This Row],['# Users (High)]]*8)</f>
        <v>16000</v>
      </c>
      <c r="H297" s="24">
        <f>SUM(H8+'MS Licensing'!$D$13*Table1839[[#This Row],['# Users (High)]])</f>
        <v>543152.04348072922</v>
      </c>
      <c r="I297" s="19">
        <f>SUM($K8+'MS Licensing'!$D$13*Table1839[[#This Row],['# Users (High)]])</f>
        <v>538325</v>
      </c>
    </row>
    <row r="298" spans="1:24" x14ac:dyDescent="0.25">
      <c r="A298" s="8" t="s">
        <v>15</v>
      </c>
      <c r="B298" s="16">
        <v>50</v>
      </c>
      <c r="C298" s="24">
        <f>SUM(Table1839[[#This Row],['# Users (Low)]]*8)</f>
        <v>400</v>
      </c>
      <c r="D298" s="24">
        <f>SUM(H9+'MS Licensing'!D$13*Table1839[[#This Row],['# Users (Low)]])</f>
        <v>19757.455469711538</v>
      </c>
      <c r="E298" s="19">
        <f>SUM(K9+'MS Licensing'!D$13*Table1839[[#This Row],['# Users (Low)]])</f>
        <v>16210</v>
      </c>
      <c r="F298" s="52">
        <v>1000</v>
      </c>
      <c r="G298" s="24">
        <f>SUM(Table1839[[#This Row],['# Users (High)]]*8)</f>
        <v>8000</v>
      </c>
      <c r="H298" s="24">
        <f>SUM(H9+'MS Licensing'!$D$13*Table1839[[#This Row],['# Users (High)]])</f>
        <v>273407.45546971157</v>
      </c>
      <c r="I298" s="19">
        <f>SUM($K9+'MS Licensing'!$D$13*Table1839[[#This Row],['# Users (High)]])</f>
        <v>269860</v>
      </c>
    </row>
    <row r="299" spans="1:24" ht="15.75" thickBot="1" x14ac:dyDescent="0.3">
      <c r="A299" s="9" t="s">
        <v>16</v>
      </c>
      <c r="B299" s="26">
        <v>100</v>
      </c>
      <c r="C299" s="25">
        <f>SUM(Table1839[[#This Row],['# Users (Low)]]*8)</f>
        <v>800</v>
      </c>
      <c r="D299" s="24">
        <f>SUM(H10+'MS Licensing'!D$13*Table1839[[#This Row],['# Users (Low)]])</f>
        <v>38071.893871354172</v>
      </c>
      <c r="E299" s="19">
        <f>SUM(K10+'MS Licensing'!D$13*Table1839[[#This Row],['# Users (Low)]])</f>
        <v>32615</v>
      </c>
      <c r="F299" s="53">
        <v>2000</v>
      </c>
      <c r="G299" s="25">
        <f>SUM(Table1839[[#This Row],['# Users (High)]]*8)</f>
        <v>16000</v>
      </c>
      <c r="H299" s="24">
        <f>SUM(H10+'MS Licensing'!$D$13*Table1839[[#This Row],['# Users (High)]])</f>
        <v>545371.89387135417</v>
      </c>
      <c r="I299" s="19">
        <f>SUM($K10+'MS Licensing'!$D$13*Table1839[[#This Row],['# Users (High)]])</f>
        <v>539915</v>
      </c>
    </row>
    <row r="300" spans="1:24" ht="15.75" thickBot="1" x14ac:dyDescent="0.3"/>
    <row r="301" spans="1:24" x14ac:dyDescent="0.25">
      <c r="A301" s="2" t="s">
        <v>267</v>
      </c>
      <c r="B301" s="27" t="s">
        <v>107</v>
      </c>
      <c r="C301" s="22"/>
      <c r="D301" s="22"/>
      <c r="E301" s="15"/>
      <c r="F301" s="27" t="s">
        <v>108</v>
      </c>
      <c r="G301" s="22"/>
      <c r="H301" s="22"/>
      <c r="I301" s="15"/>
      <c r="K301" s="2" t="s">
        <v>216</v>
      </c>
      <c r="L301" s="27" t="s">
        <v>107</v>
      </c>
      <c r="M301" s="22"/>
      <c r="N301" s="22"/>
      <c r="O301" s="15"/>
      <c r="P301" s="27" t="s">
        <v>108</v>
      </c>
      <c r="Q301" s="22"/>
      <c r="R301" s="22"/>
      <c r="S301" s="15"/>
    </row>
    <row r="302" spans="1:24" x14ac:dyDescent="0.25">
      <c r="A302" t="s">
        <v>106</v>
      </c>
      <c r="B302" s="16" t="s">
        <v>110</v>
      </c>
      <c r="C302" s="23" t="s">
        <v>111</v>
      </c>
      <c r="D302" s="23" t="s">
        <v>105</v>
      </c>
      <c r="E302" s="17" t="s">
        <v>264</v>
      </c>
      <c r="F302" s="16" t="s">
        <v>109</v>
      </c>
      <c r="G302" s="23" t="s">
        <v>115</v>
      </c>
      <c r="H302" s="23" t="s">
        <v>241</v>
      </c>
      <c r="I302" s="17" t="s">
        <v>271</v>
      </c>
      <c r="K302" t="s">
        <v>106</v>
      </c>
      <c r="L302" s="16" t="s">
        <v>110</v>
      </c>
      <c r="M302" s="23" t="s">
        <v>111</v>
      </c>
      <c r="N302" s="23" t="s">
        <v>105</v>
      </c>
      <c r="O302" s="17" t="s">
        <v>264</v>
      </c>
      <c r="P302" s="16" t="s">
        <v>109</v>
      </c>
      <c r="Q302" s="23" t="s">
        <v>115</v>
      </c>
      <c r="R302" s="23" t="s">
        <v>240</v>
      </c>
      <c r="S302" s="17" t="s">
        <v>268</v>
      </c>
    </row>
    <row r="303" spans="1:24" x14ac:dyDescent="0.25">
      <c r="A303" s="8" t="s">
        <v>65</v>
      </c>
      <c r="B303" s="16">
        <v>50</v>
      </c>
      <c r="C303" s="24">
        <f>SUM(Table181740[[#This Row],['# Users (Low)]]*8*12)</f>
        <v>4800</v>
      </c>
      <c r="D303" s="24">
        <f>SUM(G6+'MS Licensing'!D$13*Table181740[[#This Row],['# Users (Low)]])</f>
        <v>33610.411692307694</v>
      </c>
      <c r="E303" s="19">
        <f>SUM(L6+'MS Licensing'!D$13*Table181740[[#This Row],['# Users (Low)]])</f>
        <v>33390</v>
      </c>
      <c r="F303" s="52">
        <v>500</v>
      </c>
      <c r="G303" s="24">
        <f>SUM(Table181740[[#This Row],['# Users (High)]]*8*12)</f>
        <v>48000</v>
      </c>
      <c r="H303" s="24">
        <f>SUM(G6+'MS Licensing'!D$13*Table181740[[#This Row],['# Users (High)]])</f>
        <v>153760.41169230768</v>
      </c>
      <c r="I303" s="19">
        <f>SUM(L6+'MS Licensing'!D$13*Table181740[[#This Row],['# Users (High)]])</f>
        <v>153540</v>
      </c>
      <c r="K303" s="8" t="s">
        <v>65</v>
      </c>
      <c r="L303" s="16">
        <v>50</v>
      </c>
      <c r="M303" s="24">
        <f>SUM(Table18173342[[#This Row],['# Users (Low)]]*8*12*3)</f>
        <v>14400</v>
      </c>
      <c r="N303" s="24">
        <f>SUM(Table181740[[#This Row],[On Premises]]+2*D311)</f>
        <v>68391.619692307693</v>
      </c>
      <c r="O303" s="19">
        <f>SUM(Table181740[[#This Row],[Fully Hosted Cloud]]+E311*2)</f>
        <v>73470</v>
      </c>
      <c r="P303" s="52">
        <v>500</v>
      </c>
      <c r="Q303" s="24">
        <f>SUM(Table18173342[[#This Row],['# Users (High)]]*8*12*3)</f>
        <v>144000</v>
      </c>
      <c r="R303" s="24">
        <f>SUM(Table181740[[#This Row],[On Premises  ]]+H311*2)</f>
        <v>188541.61969230769</v>
      </c>
      <c r="S303" s="19">
        <f>SUM(Table181740[[#This Row],[Fully Hosted Cloud  ]]+I311*2)</f>
        <v>193620</v>
      </c>
    </row>
    <row r="304" spans="1:24" x14ac:dyDescent="0.25">
      <c r="A304" s="8" t="s">
        <v>13</v>
      </c>
      <c r="B304" s="16">
        <v>50</v>
      </c>
      <c r="C304" s="24">
        <f>SUM(Table181740[[#This Row],['# Users (Low)]]*8*12)</f>
        <v>4800</v>
      </c>
      <c r="D304" s="24">
        <f>SUM(G7+'MS Licensing'!D$13*Table181740[[#This Row],['# Users (Low)]])</f>
        <v>43332.444461538456</v>
      </c>
      <c r="E304" s="19">
        <f>SUM(L7+'MS Licensing'!D$13*Table181740[[#This Row],['# Users (Low)]])</f>
        <v>39270</v>
      </c>
      <c r="F304" s="52">
        <v>1000</v>
      </c>
      <c r="G304" s="24">
        <f>SUM(Table181740[[#This Row],['# Users (High)]]*8*12)</f>
        <v>96000</v>
      </c>
      <c r="H304" s="24">
        <f>SUM(G7+'MS Licensing'!D$13*Table181740[[#This Row],['# Users (High)]])</f>
        <v>296982.44446153846</v>
      </c>
      <c r="I304" s="19">
        <f>SUM(L7+'MS Licensing'!D$13*Table181740[[#This Row],['# Users (High)]])</f>
        <v>292920</v>
      </c>
      <c r="K304" s="8" t="s">
        <v>13</v>
      </c>
      <c r="L304" s="16">
        <v>50</v>
      </c>
      <c r="M304" s="24">
        <f>SUM(Table18173342[[#This Row],['# Users (Low)]]*8*12*3)</f>
        <v>14400</v>
      </c>
      <c r="N304" s="24">
        <f>SUM(Table181740[[#This Row],[On Premises]]+2*D312)</f>
        <v>95504.256461538462</v>
      </c>
      <c r="O304" s="19">
        <f>SUM(Table181740[[#This Row],[Fully Hosted Cloud]]+E312*2)</f>
        <v>91110</v>
      </c>
      <c r="P304" s="52">
        <v>1000</v>
      </c>
      <c r="Q304" s="24">
        <f>SUM(Table18173342[[#This Row],['# Users (High)]]*8*12*3)</f>
        <v>288000</v>
      </c>
      <c r="R304" s="24">
        <f>SUM(Table181740[[#This Row],[On Premises  ]]+H312*2)</f>
        <v>349154.25646153843</v>
      </c>
      <c r="S304" s="19">
        <f>SUM(Table181740[[#This Row],[Fully Hosted Cloud  ]]+I312*2)</f>
        <v>344760</v>
      </c>
    </row>
    <row r="305" spans="1:19" x14ac:dyDescent="0.25">
      <c r="A305" s="8" t="s">
        <v>14</v>
      </c>
      <c r="B305" s="16">
        <v>100</v>
      </c>
      <c r="C305" s="24">
        <f>SUM(Table181740[[#This Row],['# Users (Low)]]*8*12)</f>
        <v>9600</v>
      </c>
      <c r="D305" s="24">
        <f>SUM(G8+'MS Licensing'!D$13*Table181740[[#This Row],['# Users (Low)]])</f>
        <v>68294.12466666667</v>
      </c>
      <c r="E305" s="19">
        <f>SUM(L8+'MS Licensing'!D$13*Table181740[[#This Row],['# Users (Low)]])</f>
        <v>78600</v>
      </c>
      <c r="F305" s="52">
        <v>2000</v>
      </c>
      <c r="G305" s="24">
        <f>SUM(Table181740[[#This Row],['# Users (High)]]*8*12)</f>
        <v>192000</v>
      </c>
      <c r="H305" s="24">
        <f>SUM(G8+'MS Licensing'!D$13*Table181740[[#This Row],['# Users (High)]])</f>
        <v>575594.12466666661</v>
      </c>
      <c r="I305" s="19">
        <f>SUM(L8+'MS Licensing'!D$13*Table181740[[#This Row],['# Users (High)]])</f>
        <v>585900</v>
      </c>
      <c r="K305" s="8" t="s">
        <v>14</v>
      </c>
      <c r="L305" s="16">
        <v>100</v>
      </c>
      <c r="M305" s="24">
        <f>SUM(Table18173342[[#This Row],['# Users (Low)]]*8*12*3)</f>
        <v>28800</v>
      </c>
      <c r="N305" s="24">
        <f>SUM(Table181740[[#This Row],[On Premises]]+2*D313)</f>
        <v>137856.5406666667</v>
      </c>
      <c r="O305" s="19">
        <f>SUM(Table181740[[#This Row],[Fully Hosted Cloud]]+E313*2)</f>
        <v>182400</v>
      </c>
      <c r="P305" s="52">
        <v>2000</v>
      </c>
      <c r="Q305" s="24">
        <f>SUM(Table18173342[[#This Row],['# Users (High)]]*8*12*3)</f>
        <v>576000</v>
      </c>
      <c r="R305" s="24">
        <f>SUM(Table181740[[#This Row],[On Premises  ]]+H313*2)</f>
        <v>645156.54066666658</v>
      </c>
      <c r="S305" s="19">
        <f>SUM(Table181740[[#This Row],[Fully Hosted Cloud  ]]+I313*2)</f>
        <v>689700</v>
      </c>
    </row>
    <row r="306" spans="1:19" x14ac:dyDescent="0.25">
      <c r="A306" s="8" t="s">
        <v>15</v>
      </c>
      <c r="B306" s="16">
        <v>50</v>
      </c>
      <c r="C306" s="24">
        <f>SUM(Table181740[[#This Row],['# Users (Low)]]*8*12)</f>
        <v>4800</v>
      </c>
      <c r="D306" s="24">
        <f>SUM(G9+'MS Licensing'!D$13*Table181740[[#This Row],['# Users (Low)]])</f>
        <v>48462.403153846157</v>
      </c>
      <c r="E306" s="19">
        <f>SUM(L9+'MS Licensing'!D$13*Table181740[[#This Row],['# Users (Low)]])</f>
        <v>47670</v>
      </c>
      <c r="F306" s="52">
        <v>1000</v>
      </c>
      <c r="G306" s="24">
        <f>SUM(Table181740[[#This Row],['# Users (High)]]*8*12)</f>
        <v>96000</v>
      </c>
      <c r="H306" s="24">
        <f>SUM(G9+'MS Licensing'!D$13*Table181740[[#This Row],['# Users (High)]])</f>
        <v>302112.40315384616</v>
      </c>
      <c r="I306" s="19">
        <f>SUM(L9+'MS Licensing'!D$13*Table181740[[#This Row],['# Users (High)]])</f>
        <v>301320</v>
      </c>
      <c r="K306" s="8" t="s">
        <v>15</v>
      </c>
      <c r="L306" s="16">
        <v>50</v>
      </c>
      <c r="M306" s="24">
        <f>SUM(Table18173342[[#This Row],['# Users (Low)]]*8*12*3)</f>
        <v>14400</v>
      </c>
      <c r="N306" s="24">
        <f>SUM(Table181740[[#This Row],[On Premises]]+2*D314)</f>
        <v>109329.51715384616</v>
      </c>
      <c r="O306" s="19">
        <f>SUM(Table181740[[#This Row],[Fully Hosted Cloud]]+E314*2)</f>
        <v>116310</v>
      </c>
      <c r="P306" s="52">
        <v>1000</v>
      </c>
      <c r="Q306" s="24">
        <f>SUM(Table18173342[[#This Row],['# Users (High)]]*8*12*3)</f>
        <v>288000</v>
      </c>
      <c r="R306" s="24">
        <f>SUM(Table181740[[#This Row],[On Premises  ]]+H314*2)</f>
        <v>362979.51715384616</v>
      </c>
      <c r="S306" s="19">
        <f>SUM(Table181740[[#This Row],[Fully Hosted Cloud  ]]+I314*2)</f>
        <v>369960</v>
      </c>
    </row>
    <row r="307" spans="1:19" ht="15.75" thickBot="1" x14ac:dyDescent="0.3">
      <c r="A307" s="9" t="s">
        <v>16</v>
      </c>
      <c r="B307" s="26">
        <v>100</v>
      </c>
      <c r="C307" s="25">
        <f>SUM(Table181740[[#This Row],['# Users (Low)]]*8*12)</f>
        <v>9600</v>
      </c>
      <c r="D307" s="24">
        <f>SUM(G10+'MS Licensing'!D$13*Table181740[[#This Row],['# Users (Low)]])</f>
        <v>78643.176666666666</v>
      </c>
      <c r="E307" s="19">
        <f>SUM(L10+'MS Licensing'!D$13*Table181740[[#This Row],['# Users (Low)]])</f>
        <v>97680</v>
      </c>
      <c r="F307" s="53">
        <v>2000</v>
      </c>
      <c r="G307" s="25">
        <f>SUM(Table181740[[#This Row],['# Users (High)]]*8*12)</f>
        <v>192000</v>
      </c>
      <c r="H307" s="24">
        <f>SUM(G10+'MS Licensing'!D$13*Table181740[[#This Row],['# Users (High)]])</f>
        <v>585943.17666666664</v>
      </c>
      <c r="I307" s="19">
        <f>SUM(L10+'MS Licensing'!D$13*Table181740[[#This Row],['# Users (High)]])</f>
        <v>604980</v>
      </c>
      <c r="K307" s="9" t="s">
        <v>16</v>
      </c>
      <c r="L307" s="26">
        <v>100</v>
      </c>
      <c r="M307" s="24">
        <f>SUM(Table18173342[[#This Row],['# Users (Low)]]*8*12*3)</f>
        <v>28800</v>
      </c>
      <c r="N307" s="24">
        <f>SUM(Table181740[[#This Row],[On Premises]]+2*D315)</f>
        <v>165596.19666666666</v>
      </c>
      <c r="O307" s="19">
        <f>SUM(Table181740[[#This Row],[Fully Hosted Cloud]]+E315*2)</f>
        <v>239640</v>
      </c>
      <c r="P307" s="53">
        <v>2000</v>
      </c>
      <c r="Q307" s="24">
        <f>SUM(Table18173342[[#This Row],['# Users (High)]]*8*12*3)</f>
        <v>576000</v>
      </c>
      <c r="R307" s="24">
        <f>SUM(Table181740[[#This Row],[On Premises  ]]+H315*2)</f>
        <v>672896.19666666666</v>
      </c>
      <c r="S307" s="19">
        <f>SUM(Table181740[[#This Row],[Fully Hosted Cloud  ]]+I315*2)</f>
        <v>746940</v>
      </c>
    </row>
    <row r="308" spans="1:19" ht="15.75" thickBot="1" x14ac:dyDescent="0.3"/>
    <row r="309" spans="1:19" x14ac:dyDescent="0.25">
      <c r="A309" s="2" t="s">
        <v>269</v>
      </c>
      <c r="B309" s="27" t="s">
        <v>107</v>
      </c>
      <c r="C309" s="22"/>
      <c r="D309" s="22"/>
      <c r="E309" s="15"/>
      <c r="F309" s="27" t="s">
        <v>108</v>
      </c>
      <c r="G309" s="22"/>
      <c r="H309" s="22"/>
      <c r="I309" s="15"/>
      <c r="K309" s="2" t="s">
        <v>215</v>
      </c>
      <c r="L309" s="27" t="s">
        <v>107</v>
      </c>
      <c r="M309" s="22"/>
      <c r="N309" s="22"/>
      <c r="O309" s="15"/>
      <c r="P309" s="27" t="s">
        <v>108</v>
      </c>
      <c r="Q309" s="22"/>
      <c r="R309" s="22"/>
      <c r="S309" s="15"/>
    </row>
    <row r="310" spans="1:19" x14ac:dyDescent="0.25">
      <c r="A310" t="s">
        <v>106</v>
      </c>
      <c r="B310" s="16" t="s">
        <v>110</v>
      </c>
      <c r="C310" s="23" t="s">
        <v>111</v>
      </c>
      <c r="D310" s="23" t="s">
        <v>105</v>
      </c>
      <c r="E310" s="17" t="s">
        <v>264</v>
      </c>
      <c r="F310" s="16" t="s">
        <v>109</v>
      </c>
      <c r="G310" s="23" t="s">
        <v>115</v>
      </c>
      <c r="H310" s="23" t="s">
        <v>240</v>
      </c>
      <c r="I310" s="17" t="s">
        <v>270</v>
      </c>
      <c r="K310" t="s">
        <v>106</v>
      </c>
      <c r="L310" s="16" t="s">
        <v>110</v>
      </c>
      <c r="M310" s="23" t="s">
        <v>111</v>
      </c>
      <c r="N310" s="23" t="s">
        <v>105</v>
      </c>
      <c r="O310" s="17" t="s">
        <v>264</v>
      </c>
      <c r="P310" s="16" t="s">
        <v>109</v>
      </c>
      <c r="Q310" s="23" t="s">
        <v>115</v>
      </c>
      <c r="R310" s="23" t="s">
        <v>240</v>
      </c>
      <c r="S310" s="17" t="s">
        <v>270</v>
      </c>
    </row>
    <row r="311" spans="1:19" x14ac:dyDescent="0.25">
      <c r="A311" s="8" t="s">
        <v>65</v>
      </c>
      <c r="B311" s="16">
        <v>50</v>
      </c>
      <c r="C311" s="24">
        <f>SUM(Table18171841[[#This Row],['# Users (Low)]]*8*12)</f>
        <v>4800</v>
      </c>
      <c r="D311" s="24">
        <f>E6</f>
        <v>17390.604000000003</v>
      </c>
      <c r="E311" s="19">
        <f>L6</f>
        <v>20040</v>
      </c>
      <c r="F311" s="52">
        <v>500</v>
      </c>
      <c r="G311" s="24">
        <f>SUM(Table18171841[[#This Row],['# Users (High)]]*8*12)</f>
        <v>48000</v>
      </c>
      <c r="H311" s="24">
        <f>E6</f>
        <v>17390.604000000003</v>
      </c>
      <c r="I311" s="19">
        <f>L6</f>
        <v>20040</v>
      </c>
      <c r="K311" s="8" t="s">
        <v>65</v>
      </c>
      <c r="L311" s="16">
        <v>50</v>
      </c>
      <c r="M311" s="24">
        <f>SUM(Table1817183443[[#This Row],['# Users (Low)]]*8*12*5)</f>
        <v>24000</v>
      </c>
      <c r="N311" s="24">
        <f>SUM(D303+Table18171841[[#This Row],[On Premises]]*4)</f>
        <v>103172.82769230771</v>
      </c>
      <c r="O311" s="19">
        <f>SUM(E303+Table18171841[[#This Row],[Fully Hosted Cloud]]*4)</f>
        <v>113550</v>
      </c>
      <c r="P311" s="52">
        <v>500</v>
      </c>
      <c r="Q311" s="24">
        <f>SUM(Table1817183443[[#This Row],['# Users (High)]]*8*12*5)</f>
        <v>240000</v>
      </c>
      <c r="R311" s="24">
        <f>SUM(H303+Table18171841[[#This Row],[On Premises ]]*4)</f>
        <v>223322.82769230771</v>
      </c>
      <c r="S311" s="19">
        <f>SUM(I303+Table18171841[[#This Row],[Fully Hosted Cloud   ]]*4)</f>
        <v>233700</v>
      </c>
    </row>
    <row r="312" spans="1:19" x14ac:dyDescent="0.25">
      <c r="A312" s="8" t="s">
        <v>13</v>
      </c>
      <c r="B312" s="16">
        <v>50</v>
      </c>
      <c r="C312" s="24">
        <f>SUM(Table18171841[[#This Row],['# Users (Low)]]*8*12)</f>
        <v>4800</v>
      </c>
      <c r="D312" s="24">
        <f t="shared" ref="D312:D315" si="12">E7</f>
        <v>26085.905999999999</v>
      </c>
      <c r="E312" s="19">
        <f t="shared" ref="E312:E315" si="13">L7</f>
        <v>25920</v>
      </c>
      <c r="F312" s="52">
        <v>1000</v>
      </c>
      <c r="G312" s="24">
        <f>SUM(Table18171841[[#This Row],['# Users (High)]]*8*12)</f>
        <v>96000</v>
      </c>
      <c r="H312" s="24">
        <f t="shared" ref="H312:H315" si="14">E7</f>
        <v>26085.905999999999</v>
      </c>
      <c r="I312" s="19">
        <f t="shared" ref="I312:I315" si="15">L7</f>
        <v>25920</v>
      </c>
      <c r="K312" s="8" t="s">
        <v>13</v>
      </c>
      <c r="L312" s="16">
        <v>50</v>
      </c>
      <c r="M312" s="24">
        <f>SUM(Table1817183443[[#This Row],['# Users (Low)]]*8*12*5)</f>
        <v>24000</v>
      </c>
      <c r="N312" s="24">
        <f>SUM(D304+Table18171841[[#This Row],[On Premises]]*4)</f>
        <v>147676.06846153847</v>
      </c>
      <c r="O312" s="19">
        <f>SUM(E304+Table18171841[[#This Row],[Fully Hosted Cloud]]*4)</f>
        <v>142950</v>
      </c>
      <c r="P312" s="52">
        <v>1000</v>
      </c>
      <c r="Q312" s="24">
        <f>SUM(Table1817183443[[#This Row],['# Users (High)]]*8*12*5)</f>
        <v>480000</v>
      </c>
      <c r="R312" s="24">
        <f>SUM(H304+Table18171841[[#This Row],[On Premises ]]*4)</f>
        <v>401326.06846153847</v>
      </c>
      <c r="S312" s="19">
        <f>SUM(I304+Table18171841[[#This Row],[Fully Hosted Cloud   ]]*4)</f>
        <v>396600</v>
      </c>
    </row>
    <row r="313" spans="1:19" x14ac:dyDescent="0.25">
      <c r="A313" s="8" t="s">
        <v>14</v>
      </c>
      <c r="B313" s="16">
        <v>100</v>
      </c>
      <c r="C313" s="24">
        <f>SUM(Table18171841[[#This Row],['# Users (Low)]]*8*12)</f>
        <v>9600</v>
      </c>
      <c r="D313" s="24">
        <f t="shared" si="12"/>
        <v>34781.208000000006</v>
      </c>
      <c r="E313" s="19">
        <f t="shared" si="13"/>
        <v>51900</v>
      </c>
      <c r="F313" s="52">
        <v>2000</v>
      </c>
      <c r="G313" s="24">
        <f>SUM(Table18171841[[#This Row],['# Users (High)]]*8*12)</f>
        <v>192000</v>
      </c>
      <c r="H313" s="24">
        <f t="shared" si="14"/>
        <v>34781.208000000006</v>
      </c>
      <c r="I313" s="19">
        <f t="shared" si="15"/>
        <v>51900</v>
      </c>
      <c r="K313" s="8" t="s">
        <v>14</v>
      </c>
      <c r="L313" s="16">
        <v>100</v>
      </c>
      <c r="M313" s="24">
        <f>SUM(Table1817183443[[#This Row],['# Users (Low)]]*8*12*5)</f>
        <v>48000</v>
      </c>
      <c r="N313" s="24">
        <f>SUM(D305+Table18171841[[#This Row],[On Premises]]*4)</f>
        <v>207418.95666666669</v>
      </c>
      <c r="O313" s="19">
        <f>SUM(E305+Table18171841[[#This Row],[Fully Hosted Cloud]]*4)</f>
        <v>286200</v>
      </c>
      <c r="P313" s="52">
        <v>2000</v>
      </c>
      <c r="Q313" s="24">
        <f>SUM(Table1817183443[[#This Row],['# Users (High)]]*8*12*5)</f>
        <v>960000</v>
      </c>
      <c r="R313" s="24">
        <f>SUM(H305+Table18171841[[#This Row],[On Premises ]]*4)</f>
        <v>714718.95666666667</v>
      </c>
      <c r="S313" s="19">
        <f>SUM(I305+Table18171841[[#This Row],[Fully Hosted Cloud   ]]*4)</f>
        <v>793500</v>
      </c>
    </row>
    <row r="314" spans="1:19" x14ac:dyDescent="0.25">
      <c r="A314" s="8" t="s">
        <v>15</v>
      </c>
      <c r="B314" s="16">
        <v>50</v>
      </c>
      <c r="C314" s="24">
        <f>SUM(Table18171841[[#This Row],['# Users (Low)]]*8*12)</f>
        <v>4800</v>
      </c>
      <c r="D314" s="24">
        <f t="shared" si="12"/>
        <v>30433.557000000001</v>
      </c>
      <c r="E314" s="19">
        <f t="shared" si="13"/>
        <v>34320</v>
      </c>
      <c r="F314" s="52">
        <v>1000</v>
      </c>
      <c r="G314" s="24">
        <f>SUM(Table18171841[[#This Row],['# Users (High)]]*8*12)</f>
        <v>96000</v>
      </c>
      <c r="H314" s="24">
        <f t="shared" si="14"/>
        <v>30433.557000000001</v>
      </c>
      <c r="I314" s="19">
        <f t="shared" si="15"/>
        <v>34320</v>
      </c>
      <c r="K314" s="8" t="s">
        <v>15</v>
      </c>
      <c r="L314" s="16">
        <v>50</v>
      </c>
      <c r="M314" s="24">
        <f>SUM(Table1817183443[[#This Row],['# Users (Low)]]*8*12*5)</f>
        <v>24000</v>
      </c>
      <c r="N314" s="24">
        <f>SUM(D306+Table18171841[[#This Row],[On Premises]]*4)</f>
        <v>170196.63115384616</v>
      </c>
      <c r="O314" s="19">
        <f>SUM(E306+Table18171841[[#This Row],[Fully Hosted Cloud]]*4)</f>
        <v>184950</v>
      </c>
      <c r="P314" s="52">
        <v>1000</v>
      </c>
      <c r="Q314" s="24">
        <f>SUM(Table1817183443[[#This Row],['# Users (High)]]*8*12*5)</f>
        <v>480000</v>
      </c>
      <c r="R314" s="24">
        <f>SUM(H306+Table18171841[[#This Row],[On Premises ]]*4)</f>
        <v>423846.63115384616</v>
      </c>
      <c r="S314" s="19">
        <f>SUM(I306+Table18171841[[#This Row],[Fully Hosted Cloud   ]]*4)</f>
        <v>438600</v>
      </c>
    </row>
    <row r="315" spans="1:19" ht="15.75" thickBot="1" x14ac:dyDescent="0.3">
      <c r="A315" s="9" t="s">
        <v>16</v>
      </c>
      <c r="B315" s="26">
        <v>100</v>
      </c>
      <c r="C315" s="25">
        <f>SUM(Table18171841[[#This Row],['# Users (Low)]]*8*12)</f>
        <v>9600</v>
      </c>
      <c r="D315" s="24">
        <f t="shared" si="12"/>
        <v>43476.51</v>
      </c>
      <c r="E315" s="19">
        <f t="shared" si="13"/>
        <v>70980</v>
      </c>
      <c r="F315" s="53">
        <v>2000</v>
      </c>
      <c r="G315" s="25">
        <f>SUM(Table18171841[[#This Row],['# Users (High)]]*8*12)</f>
        <v>192000</v>
      </c>
      <c r="H315" s="24">
        <f t="shared" si="14"/>
        <v>43476.51</v>
      </c>
      <c r="I315" s="19">
        <f t="shared" si="15"/>
        <v>70980</v>
      </c>
      <c r="K315" s="9" t="s">
        <v>16</v>
      </c>
      <c r="L315" s="26">
        <v>100</v>
      </c>
      <c r="M315" s="24">
        <f>SUM(Table1817183443[[#This Row],['# Users (Low)]]*8*12*5)</f>
        <v>48000</v>
      </c>
      <c r="N315" s="24">
        <f>SUM(D307+Table18171841[[#This Row],[On Premises]]*4)</f>
        <v>252549.21666666667</v>
      </c>
      <c r="O315" s="19">
        <f>SUM(E307+Table18171841[[#This Row],[Fully Hosted Cloud]]*4)</f>
        <v>381600</v>
      </c>
      <c r="P315" s="53">
        <v>2000</v>
      </c>
      <c r="Q315" s="24">
        <f>SUM(Table1817183443[[#This Row],['# Users (High)]]*8*12*5)</f>
        <v>960000</v>
      </c>
      <c r="R315" s="24">
        <f>SUM(H307+Table18171841[[#This Row],[On Premises ]]*4)</f>
        <v>759849.21666666667</v>
      </c>
      <c r="S315" s="19">
        <f>SUM(I307+Table18171841[[#This Row],[Fully Hosted Cloud   ]]*4)</f>
        <v>888900</v>
      </c>
    </row>
    <row r="316" spans="1:19" x14ac:dyDescent="0.25">
      <c r="A316" s="28"/>
      <c r="B316" s="23"/>
      <c r="C316" s="24"/>
      <c r="D316" s="24"/>
      <c r="E316" s="24"/>
      <c r="F316" s="23"/>
      <c r="G316" s="24"/>
      <c r="H316" s="24"/>
      <c r="I316" s="24"/>
    </row>
    <row r="319" spans="1:19" x14ac:dyDescent="0.25">
      <c r="G319" s="87" t="s">
        <v>138</v>
      </c>
    </row>
    <row r="320" spans="1:19" x14ac:dyDescent="0.25">
      <c r="G320" s="87"/>
    </row>
    <row r="321" spans="7:7" x14ac:dyDescent="0.25">
      <c r="G321" s="87"/>
    </row>
    <row r="322" spans="7:7" x14ac:dyDescent="0.25">
      <c r="G322" s="87"/>
    </row>
    <row r="323" spans="7:7" x14ac:dyDescent="0.25">
      <c r="G323" s="87"/>
    </row>
    <row r="324" spans="7:7" x14ac:dyDescent="0.25">
      <c r="G324" s="87"/>
    </row>
    <row r="325" spans="7:7" x14ac:dyDescent="0.25">
      <c r="G325" s="87"/>
    </row>
    <row r="326" spans="7:7" x14ac:dyDescent="0.25">
      <c r="G326" s="87"/>
    </row>
    <row r="340" spans="7:7" x14ac:dyDescent="0.25">
      <c r="G340" t="s">
        <v>139</v>
      </c>
    </row>
    <row r="361" spans="7:7" x14ac:dyDescent="0.25">
      <c r="G361" t="s">
        <v>140</v>
      </c>
    </row>
    <row r="383" spans="3:10" x14ac:dyDescent="0.25">
      <c r="C383" t="s">
        <v>255</v>
      </c>
    </row>
    <row r="384" spans="3:10" x14ac:dyDescent="0.25">
      <c r="C384" s="63" t="s">
        <v>107</v>
      </c>
      <c r="D384" s="64"/>
      <c r="E384" s="64"/>
      <c r="F384" s="41"/>
      <c r="G384" s="63" t="s">
        <v>108</v>
      </c>
      <c r="H384" s="64"/>
      <c r="I384" s="64"/>
      <c r="J384" s="41"/>
    </row>
    <row r="385" spans="3:10" x14ac:dyDescent="0.25">
      <c r="C385" s="42" t="s">
        <v>262</v>
      </c>
      <c r="D385" s="23" t="s">
        <v>261</v>
      </c>
      <c r="E385" s="23" t="s">
        <v>210</v>
      </c>
      <c r="F385" s="43" t="s">
        <v>264</v>
      </c>
      <c r="G385" s="42" t="s">
        <v>262</v>
      </c>
      <c r="H385" s="23" t="s">
        <v>261</v>
      </c>
      <c r="I385" s="23" t="s">
        <v>210</v>
      </c>
      <c r="J385" s="43" t="s">
        <v>264</v>
      </c>
    </row>
    <row r="386" spans="3:10" x14ac:dyDescent="0.25">
      <c r="C386" s="42" t="s">
        <v>256</v>
      </c>
      <c r="D386" s="24">
        <f>C307</f>
        <v>9600</v>
      </c>
      <c r="E386" s="24">
        <f>D307</f>
        <v>78643.176666666666</v>
      </c>
      <c r="F386" s="45">
        <f>E307</f>
        <v>97680</v>
      </c>
      <c r="G386" s="42" t="s">
        <v>256</v>
      </c>
      <c r="H386" s="24">
        <f>G307</f>
        <v>192000</v>
      </c>
      <c r="I386" s="24">
        <f>H307</f>
        <v>585943.17666666664</v>
      </c>
      <c r="J386" s="45">
        <f>I307</f>
        <v>604980</v>
      </c>
    </row>
    <row r="387" spans="3:10" x14ac:dyDescent="0.25">
      <c r="C387" s="42" t="s">
        <v>257</v>
      </c>
      <c r="D387" s="24">
        <f>$C$315</f>
        <v>9600</v>
      </c>
      <c r="E387" s="24">
        <f>$D$315</f>
        <v>43476.51</v>
      </c>
      <c r="F387" s="45">
        <f>$E$315</f>
        <v>70980</v>
      </c>
      <c r="G387" s="42" t="s">
        <v>257</v>
      </c>
      <c r="H387" s="24">
        <f>$G$315</f>
        <v>192000</v>
      </c>
      <c r="I387" s="24">
        <f>$H$315</f>
        <v>43476.51</v>
      </c>
      <c r="J387" s="45">
        <f>$I$315</f>
        <v>70980</v>
      </c>
    </row>
    <row r="388" spans="3:10" x14ac:dyDescent="0.25">
      <c r="C388" s="42" t="s">
        <v>258</v>
      </c>
      <c r="D388" s="24">
        <f>$C$315</f>
        <v>9600</v>
      </c>
      <c r="E388" s="24">
        <f>$D$315</f>
        <v>43476.51</v>
      </c>
      <c r="F388" s="45">
        <f>$E$315</f>
        <v>70980</v>
      </c>
      <c r="G388" s="42" t="s">
        <v>258</v>
      </c>
      <c r="H388" s="24">
        <f>$G$315</f>
        <v>192000</v>
      </c>
      <c r="I388" s="24">
        <f>$H$315</f>
        <v>43476.51</v>
      </c>
      <c r="J388" s="45">
        <f>$I$315</f>
        <v>70980</v>
      </c>
    </row>
    <row r="389" spans="3:10" x14ac:dyDescent="0.25">
      <c r="C389" s="42" t="s">
        <v>259</v>
      </c>
      <c r="D389" s="24">
        <f>$C$315</f>
        <v>9600</v>
      </c>
      <c r="E389" s="24">
        <f>$D$315</f>
        <v>43476.51</v>
      </c>
      <c r="F389" s="45">
        <f>$E$315</f>
        <v>70980</v>
      </c>
      <c r="G389" s="42" t="s">
        <v>259</v>
      </c>
      <c r="H389" s="24">
        <f>$G$315</f>
        <v>192000</v>
      </c>
      <c r="I389" s="24">
        <f>$H$315</f>
        <v>43476.51</v>
      </c>
      <c r="J389" s="45">
        <f>$I$315</f>
        <v>70980</v>
      </c>
    </row>
    <row r="390" spans="3:10" x14ac:dyDescent="0.25">
      <c r="C390" s="65" t="s">
        <v>260</v>
      </c>
      <c r="D390" s="24">
        <f>$C$315</f>
        <v>9600</v>
      </c>
      <c r="E390" s="24">
        <f>$D$315</f>
        <v>43476.51</v>
      </c>
      <c r="F390" s="45">
        <f>$E$315</f>
        <v>70980</v>
      </c>
      <c r="G390" s="65" t="s">
        <v>260</v>
      </c>
      <c r="H390" s="24">
        <f>$G$315</f>
        <v>192000</v>
      </c>
      <c r="I390" s="24">
        <f>$H$315</f>
        <v>43476.51</v>
      </c>
      <c r="J390" s="45">
        <f>$I$315</f>
        <v>70980</v>
      </c>
    </row>
  </sheetData>
  <mergeCells count="3">
    <mergeCell ref="G135:G142"/>
    <mergeCell ref="G227:G234"/>
    <mergeCell ref="G319:G326"/>
  </mergeCells>
  <pageMargins left="0.7" right="0.7" top="0.75" bottom="0.75" header="0.3" footer="0.3"/>
  <pageSetup orientation="portrait" horizontalDpi="300" verticalDpi="0" copies="0" r:id="rId1"/>
  <drawing r:id="rId2"/>
  <tableParts count="24">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activeCell="C32" sqref="C32"/>
    </sheetView>
  </sheetViews>
  <sheetFormatPr defaultRowHeight="15" x14ac:dyDescent="0.25"/>
  <cols>
    <col min="1" max="1" width="34.5703125" bestFit="1" customWidth="1"/>
    <col min="2" max="2" width="11.5703125" customWidth="1"/>
    <col min="3" max="3" width="9.42578125" customWidth="1"/>
    <col min="4" max="4" width="13.7109375" customWidth="1"/>
    <col min="5" max="5" width="128.85546875" customWidth="1"/>
  </cols>
  <sheetData>
    <row r="1" spans="1:5" x14ac:dyDescent="0.25">
      <c r="A1" t="s">
        <v>116</v>
      </c>
    </row>
    <row r="3" spans="1:5" x14ac:dyDescent="0.25">
      <c r="A3" s="2" t="s">
        <v>124</v>
      </c>
    </row>
    <row r="4" spans="1:5" x14ac:dyDescent="0.25">
      <c r="A4" t="s">
        <v>117</v>
      </c>
      <c r="B4" t="s">
        <v>118</v>
      </c>
      <c r="C4" t="s">
        <v>80</v>
      </c>
      <c r="D4" t="s">
        <v>119</v>
      </c>
      <c r="E4" t="s">
        <v>126</v>
      </c>
    </row>
    <row r="5" spans="1:5" x14ac:dyDescent="0.25">
      <c r="A5" t="s">
        <v>120</v>
      </c>
      <c r="B5" t="s">
        <v>123</v>
      </c>
      <c r="C5" t="s">
        <v>82</v>
      </c>
      <c r="D5" t="s">
        <v>81</v>
      </c>
    </row>
    <row r="6" spans="1:5" x14ac:dyDescent="0.25">
      <c r="A6" t="s">
        <v>121</v>
      </c>
      <c r="B6" t="s">
        <v>125</v>
      </c>
      <c r="C6" t="s">
        <v>125</v>
      </c>
      <c r="D6" t="s">
        <v>81</v>
      </c>
    </row>
    <row r="7" spans="1:5" ht="30" x14ac:dyDescent="0.25">
      <c r="A7" t="s">
        <v>122</v>
      </c>
      <c r="B7" t="s">
        <v>123</v>
      </c>
      <c r="C7" t="s">
        <v>125</v>
      </c>
      <c r="D7" t="s">
        <v>81</v>
      </c>
      <c r="E7" s="3" t="s">
        <v>127</v>
      </c>
    </row>
    <row r="8" spans="1:5" x14ac:dyDescent="0.25">
      <c r="A8" t="s">
        <v>128</v>
      </c>
      <c r="B8" t="s">
        <v>123</v>
      </c>
      <c r="C8" t="s">
        <v>82</v>
      </c>
      <c r="D8" t="s">
        <v>125</v>
      </c>
    </row>
    <row r="9" spans="1:5" x14ac:dyDescent="0.25">
      <c r="A9" t="s">
        <v>129</v>
      </c>
      <c r="B9" t="s">
        <v>81</v>
      </c>
      <c r="C9" t="s">
        <v>81</v>
      </c>
      <c r="D9" t="s">
        <v>125</v>
      </c>
    </row>
    <row r="10" spans="1:5" x14ac:dyDescent="0.25">
      <c r="A10" t="s">
        <v>130</v>
      </c>
      <c r="B10" t="s">
        <v>82</v>
      </c>
      <c r="C10" t="s">
        <v>82</v>
      </c>
      <c r="D10" t="s">
        <v>81</v>
      </c>
    </row>
    <row r="11" spans="1:5" x14ac:dyDescent="0.25">
      <c r="A11" t="s">
        <v>131</v>
      </c>
      <c r="B11" t="s">
        <v>125</v>
      </c>
      <c r="C11" t="s">
        <v>81</v>
      </c>
      <c r="D11" t="s">
        <v>81</v>
      </c>
    </row>
    <row r="12" spans="1:5" x14ac:dyDescent="0.25">
      <c r="A12" t="s">
        <v>132</v>
      </c>
      <c r="B12" t="s">
        <v>81</v>
      </c>
      <c r="C12" t="s">
        <v>81</v>
      </c>
      <c r="D12" t="s">
        <v>82</v>
      </c>
    </row>
    <row r="13" spans="1:5" x14ac:dyDescent="0.25">
      <c r="A13" t="s">
        <v>133</v>
      </c>
      <c r="B13" t="s">
        <v>125</v>
      </c>
      <c r="C13" t="s">
        <v>125</v>
      </c>
      <c r="D13" t="s">
        <v>82</v>
      </c>
    </row>
    <row r="14" spans="1:5" x14ac:dyDescent="0.25">
      <c r="A14" t="s">
        <v>134</v>
      </c>
      <c r="B14" t="s">
        <v>125</v>
      </c>
      <c r="C14" t="s">
        <v>125</v>
      </c>
      <c r="D14" t="s">
        <v>82</v>
      </c>
    </row>
    <row r="15" spans="1:5" x14ac:dyDescent="0.25">
      <c r="A15" t="s">
        <v>135</v>
      </c>
      <c r="B15" t="s">
        <v>123</v>
      </c>
      <c r="C15" t="s">
        <v>123</v>
      </c>
      <c r="D15" t="s">
        <v>81</v>
      </c>
    </row>
    <row r="16" spans="1:5" x14ac:dyDescent="0.25">
      <c r="A16" t="s">
        <v>136</v>
      </c>
      <c r="B16" t="s">
        <v>123</v>
      </c>
      <c r="C16" t="s">
        <v>82</v>
      </c>
      <c r="D16" t="s">
        <v>125</v>
      </c>
    </row>
    <row r="17" spans="1:4" x14ac:dyDescent="0.25">
      <c r="A17" t="s">
        <v>137</v>
      </c>
      <c r="B17" t="s">
        <v>123</v>
      </c>
      <c r="C17" t="s">
        <v>125</v>
      </c>
      <c r="D17" t="s">
        <v>81</v>
      </c>
    </row>
    <row r="33" spans="1:2" x14ac:dyDescent="0.25">
      <c r="A33" s="8"/>
      <c r="B33" s="52"/>
    </row>
    <row r="34" spans="1:2" x14ac:dyDescent="0.25">
      <c r="A34" s="8"/>
      <c r="B34" s="52"/>
    </row>
    <row r="35" spans="1:2" x14ac:dyDescent="0.25">
      <c r="A35" s="8"/>
      <c r="B35" s="52"/>
    </row>
    <row r="36" spans="1:2" x14ac:dyDescent="0.25">
      <c r="A36" s="8"/>
      <c r="B36" s="52"/>
    </row>
    <row r="37" spans="1:2" ht="15.75" thickBot="1" x14ac:dyDescent="0.3">
      <c r="A37" s="9"/>
      <c r="B37" s="53"/>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12"/>
  <sheetViews>
    <sheetView workbookViewId="0">
      <selection activeCell="E16" sqref="E16"/>
    </sheetView>
  </sheetViews>
  <sheetFormatPr defaultRowHeight="15" x14ac:dyDescent="0.25"/>
  <sheetData>
    <row r="3" spans="1:1" x14ac:dyDescent="0.25">
      <c r="A3" t="s">
        <v>246</v>
      </c>
    </row>
    <row r="4" spans="1:1" x14ac:dyDescent="0.25">
      <c r="A4" t="s">
        <v>244</v>
      </c>
    </row>
    <row r="5" spans="1:1" x14ac:dyDescent="0.25">
      <c r="A5" s="2" t="s">
        <v>250</v>
      </c>
    </row>
    <row r="6" spans="1:1" x14ac:dyDescent="0.25">
      <c r="A6" s="2" t="s">
        <v>251</v>
      </c>
    </row>
    <row r="7" spans="1:1" x14ac:dyDescent="0.25">
      <c r="A7" s="2" t="s">
        <v>254</v>
      </c>
    </row>
    <row r="8" spans="1:1" x14ac:dyDescent="0.25">
      <c r="A8" s="2"/>
    </row>
    <row r="10" spans="1:1" x14ac:dyDescent="0.25">
      <c r="A10" t="s">
        <v>252</v>
      </c>
    </row>
    <row r="11" spans="1:1" x14ac:dyDescent="0.25">
      <c r="A11" t="s">
        <v>245</v>
      </c>
    </row>
    <row r="12" spans="1:1" x14ac:dyDescent="0.25">
      <c r="A12" t="s">
        <v>253</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activeCell="C25" sqref="C25"/>
    </sheetView>
  </sheetViews>
  <sheetFormatPr defaultRowHeight="15" x14ac:dyDescent="0.25"/>
  <cols>
    <col min="1" max="1" width="49.42578125" customWidth="1"/>
    <col min="2" max="2" width="9.140625" bestFit="1" customWidth="1"/>
  </cols>
  <sheetData>
    <row r="1" spans="1:2" x14ac:dyDescent="0.25">
      <c r="A1" t="s">
        <v>337</v>
      </c>
      <c r="B1" t="s">
        <v>336</v>
      </c>
    </row>
    <row r="3" spans="1:2" x14ac:dyDescent="0.25">
      <c r="A3" s="10" t="s">
        <v>65</v>
      </c>
      <c r="B3" s="1"/>
    </row>
    <row r="4" spans="1:2" x14ac:dyDescent="0.25">
      <c r="A4" t="s">
        <v>13</v>
      </c>
      <c r="B4" s="1">
        <v>1495</v>
      </c>
    </row>
    <row r="5" spans="1:2" x14ac:dyDescent="0.25">
      <c r="A5" t="s">
        <v>14</v>
      </c>
      <c r="B5" s="1">
        <v>3295</v>
      </c>
    </row>
    <row r="6" spans="1:2" x14ac:dyDescent="0.25">
      <c r="A6" t="s">
        <v>15</v>
      </c>
      <c r="B6" s="1">
        <v>2295</v>
      </c>
    </row>
    <row r="7" spans="1:2" x14ac:dyDescent="0.25">
      <c r="A7" t="s">
        <v>16</v>
      </c>
      <c r="B7" s="1">
        <v>4995</v>
      </c>
    </row>
    <row r="16" spans="1:2" x14ac:dyDescent="0.25">
      <c r="A16" s="10" t="s">
        <v>53</v>
      </c>
    </row>
    <row r="17" spans="1:1" x14ac:dyDescent="0.25">
      <c r="A17" s="11" t="s">
        <v>54</v>
      </c>
    </row>
    <row r="18" spans="1:1" x14ac:dyDescent="0.25">
      <c r="A18" s="11" t="s">
        <v>55</v>
      </c>
    </row>
    <row r="19" spans="1:1" x14ac:dyDescent="0.25">
      <c r="A19" s="11" t="s">
        <v>339</v>
      </c>
    </row>
    <row r="20" spans="1:1" x14ac:dyDescent="0.25">
      <c r="A20" s="11" t="s">
        <v>338</v>
      </c>
    </row>
    <row r="21" spans="1:1" x14ac:dyDescent="0.25">
      <c r="A21" s="11" t="s">
        <v>57</v>
      </c>
    </row>
    <row r="22" spans="1:1" x14ac:dyDescent="0.25">
      <c r="A22" s="11"/>
    </row>
    <row r="24" spans="1:1" ht="75" x14ac:dyDescent="0.25">
      <c r="A24" s="83" t="s">
        <v>340</v>
      </c>
    </row>
    <row r="26" spans="1:1" x14ac:dyDescent="0.25">
      <c r="A26" s="11" t="s">
        <v>60</v>
      </c>
    </row>
    <row r="27" spans="1:1" x14ac:dyDescent="0.25">
      <c r="A27" s="11" t="s">
        <v>341</v>
      </c>
    </row>
    <row r="28" spans="1:1" x14ac:dyDescent="0.25">
      <c r="A28" s="12"/>
    </row>
    <row r="29" spans="1:1" x14ac:dyDescent="0.25">
      <c r="A29" s="12"/>
    </row>
    <row r="30" spans="1:1" x14ac:dyDescent="0.25">
      <c r="A30" s="12"/>
    </row>
  </sheetData>
  <pageMargins left="0.7" right="0.7" top="0.75" bottom="0.75" header="0.3" footer="0.3"/>
  <pageSetup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activeCell="G20" sqref="G20"/>
    </sheetView>
  </sheetViews>
  <sheetFormatPr defaultRowHeight="15" x14ac:dyDescent="0.25"/>
  <cols>
    <col min="1" max="1" width="49.42578125" customWidth="1"/>
    <col min="2" max="2" width="9.140625" bestFit="1" customWidth="1"/>
  </cols>
  <sheetData>
    <row r="1" spans="1:2" x14ac:dyDescent="0.25">
      <c r="A1" t="s">
        <v>52</v>
      </c>
      <c r="B1" t="s">
        <v>161</v>
      </c>
    </row>
    <row r="3" spans="1:2" x14ac:dyDescent="0.25">
      <c r="A3" s="10" t="s">
        <v>65</v>
      </c>
      <c r="B3" s="1">
        <v>1495</v>
      </c>
    </row>
    <row r="4" spans="1:2" x14ac:dyDescent="0.25">
      <c r="A4" t="s">
        <v>13</v>
      </c>
      <c r="B4" s="1">
        <v>1985</v>
      </c>
    </row>
    <row r="5" spans="1:2" x14ac:dyDescent="0.25">
      <c r="A5" t="s">
        <v>14</v>
      </c>
      <c r="B5" s="1">
        <v>4150</v>
      </c>
    </row>
    <row r="6" spans="1:2" x14ac:dyDescent="0.25">
      <c r="A6" t="s">
        <v>15</v>
      </c>
      <c r="B6" s="1">
        <v>2685</v>
      </c>
    </row>
    <row r="7" spans="1:2" x14ac:dyDescent="0.25">
      <c r="A7" t="s">
        <v>16</v>
      </c>
      <c r="B7" s="1">
        <v>5740</v>
      </c>
    </row>
    <row r="16" spans="1:2" x14ac:dyDescent="0.25">
      <c r="A16" s="10" t="s">
        <v>53</v>
      </c>
    </row>
    <row r="17" spans="1:1" x14ac:dyDescent="0.25">
      <c r="A17" s="11" t="s">
        <v>54</v>
      </c>
    </row>
    <row r="18" spans="1:1" x14ac:dyDescent="0.25">
      <c r="A18" s="11" t="s">
        <v>55</v>
      </c>
    </row>
    <row r="19" spans="1:1" x14ac:dyDescent="0.25">
      <c r="A19" s="11" t="s">
        <v>56</v>
      </c>
    </row>
    <row r="20" spans="1:1" x14ac:dyDescent="0.25">
      <c r="A20" s="11" t="s">
        <v>57</v>
      </c>
    </row>
    <row r="21" spans="1:1" x14ac:dyDescent="0.25">
      <c r="A21" s="11" t="s">
        <v>58</v>
      </c>
    </row>
    <row r="23" spans="1:1" x14ac:dyDescent="0.25">
      <c r="A23" s="10" t="s">
        <v>59</v>
      </c>
    </row>
    <row r="25" spans="1:1" x14ac:dyDescent="0.25">
      <c r="A25" s="11" t="s">
        <v>60</v>
      </c>
    </row>
    <row r="26" spans="1:1" x14ac:dyDescent="0.25">
      <c r="A26" s="11" t="s">
        <v>61</v>
      </c>
    </row>
    <row r="27" spans="1:1" x14ac:dyDescent="0.25">
      <c r="A27" s="12" t="s">
        <v>62</v>
      </c>
    </row>
    <row r="28" spans="1:1" x14ac:dyDescent="0.25">
      <c r="A28" s="12" t="s">
        <v>63</v>
      </c>
    </row>
    <row r="29" spans="1:1" x14ac:dyDescent="0.25">
      <c r="A29" s="12" t="s">
        <v>64</v>
      </c>
    </row>
  </sheetData>
  <pageMargins left="0.7" right="0.7" top="0.75" bottom="0.75" header="0.3" footer="0.3"/>
  <pageSetup orientation="portrait" horizontalDpi="300" verticalDpi="0" copies="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heetViews>
  <sheetFormatPr defaultRowHeight="15" x14ac:dyDescent="0.25"/>
  <cols>
    <col min="1" max="1" width="31.5703125" customWidth="1"/>
    <col min="2" max="2" width="44.7109375" customWidth="1"/>
    <col min="3" max="3" width="47.85546875" customWidth="1"/>
  </cols>
  <sheetData>
    <row r="1" spans="1:3" x14ac:dyDescent="0.25">
      <c r="A1" s="2" t="s">
        <v>299</v>
      </c>
    </row>
    <row r="2" spans="1:3" ht="15.75" thickBot="1" x14ac:dyDescent="0.3"/>
    <row r="3" spans="1:3" ht="15.75" thickBot="1" x14ac:dyDescent="0.3">
      <c r="A3" s="66" t="s">
        <v>277</v>
      </c>
      <c r="B3" s="67" t="s">
        <v>278</v>
      </c>
      <c r="C3" s="67" t="s">
        <v>279</v>
      </c>
    </row>
    <row r="4" spans="1:3" x14ac:dyDescent="0.25">
      <c r="A4" s="68" t="s">
        <v>280</v>
      </c>
      <c r="B4" s="69" t="s">
        <v>283</v>
      </c>
      <c r="C4" s="69" t="s">
        <v>286</v>
      </c>
    </row>
    <row r="5" spans="1:3" x14ac:dyDescent="0.25">
      <c r="A5" s="68" t="s">
        <v>281</v>
      </c>
      <c r="B5" s="69" t="s">
        <v>284</v>
      </c>
      <c r="C5" s="69" t="s">
        <v>287</v>
      </c>
    </row>
    <row r="6" spans="1:3" x14ac:dyDescent="0.25">
      <c r="A6" s="68" t="s">
        <v>282</v>
      </c>
      <c r="B6" s="69" t="s">
        <v>285</v>
      </c>
      <c r="C6" s="69" t="s">
        <v>288</v>
      </c>
    </row>
    <row r="7" spans="1:3" x14ac:dyDescent="0.25">
      <c r="A7" s="71" t="s">
        <v>289</v>
      </c>
      <c r="B7" s="73" t="s">
        <v>291</v>
      </c>
      <c r="C7" s="73" t="s">
        <v>292</v>
      </c>
    </row>
    <row r="8" spans="1:3" x14ac:dyDescent="0.25">
      <c r="A8" s="76">
        <v>3000</v>
      </c>
      <c r="B8" s="77">
        <v>12000</v>
      </c>
      <c r="C8" s="77">
        <v>28000</v>
      </c>
    </row>
    <row r="9" spans="1:3" ht="15.75" thickBot="1" x14ac:dyDescent="0.3">
      <c r="A9" s="72" t="s">
        <v>290</v>
      </c>
      <c r="B9" s="74" t="s">
        <v>290</v>
      </c>
      <c r="C9" s="74" t="s">
        <v>290</v>
      </c>
    </row>
    <row r="11" spans="1:3" x14ac:dyDescent="0.25">
      <c r="A11" s="75" t="s">
        <v>298</v>
      </c>
      <c r="B11" s="75" t="s">
        <v>293</v>
      </c>
      <c r="C11" s="75" t="s">
        <v>293</v>
      </c>
    </row>
    <row r="12" spans="1:3" ht="60" x14ac:dyDescent="0.25">
      <c r="A12" s="70" t="s">
        <v>294</v>
      </c>
      <c r="B12" s="70" t="s">
        <v>308</v>
      </c>
      <c r="C12" s="70" t="s">
        <v>320</v>
      </c>
    </row>
    <row r="13" spans="1:3" ht="45" x14ac:dyDescent="0.25">
      <c r="A13" s="70" t="s">
        <v>295</v>
      </c>
      <c r="B13" s="70" t="s">
        <v>309</v>
      </c>
      <c r="C13" s="70" t="s">
        <v>321</v>
      </c>
    </row>
    <row r="14" spans="1:3" ht="30" x14ac:dyDescent="0.25">
      <c r="A14" s="70" t="s">
        <v>296</v>
      </c>
      <c r="B14" s="70" t="s">
        <v>310</v>
      </c>
      <c r="C14" s="70" t="s">
        <v>322</v>
      </c>
    </row>
    <row r="15" spans="1:3" ht="30" x14ac:dyDescent="0.25">
      <c r="A15" s="70" t="s">
        <v>297</v>
      </c>
      <c r="B15" s="70" t="s">
        <v>311</v>
      </c>
      <c r="C15" s="70" t="s">
        <v>323</v>
      </c>
    </row>
    <row r="16" spans="1:3" x14ac:dyDescent="0.25">
      <c r="C16" t="s">
        <v>324</v>
      </c>
    </row>
    <row r="30" spans="1:2" x14ac:dyDescent="0.25">
      <c r="A30" s="2" t="s">
        <v>300</v>
      </c>
      <c r="B30" s="2" t="s">
        <v>312</v>
      </c>
    </row>
    <row r="31" spans="1:2" x14ac:dyDescent="0.25">
      <c r="A31" t="s">
        <v>301</v>
      </c>
      <c r="B31" t="s">
        <v>313</v>
      </c>
    </row>
    <row r="32" spans="1:2" x14ac:dyDescent="0.25">
      <c r="A32" t="s">
        <v>302</v>
      </c>
      <c r="B32" t="s">
        <v>314</v>
      </c>
    </row>
    <row r="33" spans="1:3" x14ac:dyDescent="0.25">
      <c r="A33" t="s">
        <v>303</v>
      </c>
      <c r="B33" t="s">
        <v>315</v>
      </c>
      <c r="C33" t="s">
        <v>325</v>
      </c>
    </row>
    <row r="34" spans="1:3" x14ac:dyDescent="0.25">
      <c r="C34" s="2" t="s">
        <v>312</v>
      </c>
    </row>
    <row r="35" spans="1:3" x14ac:dyDescent="0.25">
      <c r="A35" s="2" t="s">
        <v>304</v>
      </c>
      <c r="B35" s="2" t="s">
        <v>304</v>
      </c>
      <c r="C35" t="s">
        <v>313</v>
      </c>
    </row>
    <row r="36" spans="1:3" x14ac:dyDescent="0.25">
      <c r="A36" t="s">
        <v>305</v>
      </c>
      <c r="B36" t="s">
        <v>316</v>
      </c>
      <c r="C36" t="s">
        <v>314</v>
      </c>
    </row>
    <row r="37" spans="1:3" x14ac:dyDescent="0.25">
      <c r="A37" t="s">
        <v>306</v>
      </c>
      <c r="B37" t="s">
        <v>317</v>
      </c>
      <c r="C37" t="s">
        <v>315</v>
      </c>
    </row>
    <row r="38" spans="1:3" x14ac:dyDescent="0.25">
      <c r="A38" t="s">
        <v>307</v>
      </c>
      <c r="B38" t="s">
        <v>318</v>
      </c>
      <c r="C38" s="2" t="s">
        <v>326</v>
      </c>
    </row>
    <row r="39" spans="1:3" x14ac:dyDescent="0.25">
      <c r="B39" t="s">
        <v>319</v>
      </c>
      <c r="C39" t="s">
        <v>301</v>
      </c>
    </row>
    <row r="40" spans="1:3" x14ac:dyDescent="0.25">
      <c r="C40" t="s">
        <v>302</v>
      </c>
    </row>
    <row r="41" spans="1:3" x14ac:dyDescent="0.25">
      <c r="C41" t="s">
        <v>315</v>
      </c>
    </row>
    <row r="42" spans="1:3" x14ac:dyDescent="0.25">
      <c r="C42" s="2" t="s">
        <v>327</v>
      </c>
    </row>
    <row r="43" spans="1:3" x14ac:dyDescent="0.25">
      <c r="C43" t="s">
        <v>328</v>
      </c>
    </row>
    <row r="44" spans="1:3" x14ac:dyDescent="0.25">
      <c r="C44" t="s">
        <v>329</v>
      </c>
    </row>
    <row r="45" spans="1:3" x14ac:dyDescent="0.25">
      <c r="C45" t="s">
        <v>330</v>
      </c>
    </row>
    <row r="46" spans="1:3" x14ac:dyDescent="0.25">
      <c r="C46" t="s">
        <v>331</v>
      </c>
    </row>
    <row r="47" spans="1:3" x14ac:dyDescent="0.25">
      <c r="C47" s="2" t="s">
        <v>332</v>
      </c>
    </row>
    <row r="48" spans="1:3" x14ac:dyDescent="0.25">
      <c r="C48" t="s">
        <v>333</v>
      </c>
    </row>
    <row r="49" spans="3:3" x14ac:dyDescent="0.25">
      <c r="C49" t="s">
        <v>334</v>
      </c>
    </row>
    <row r="50" spans="3:3" x14ac:dyDescent="0.25">
      <c r="C50" t="s">
        <v>335</v>
      </c>
    </row>
  </sheetData>
  <pageMargins left="0.7" right="0.7" top="0.75" bottom="0.75" header="0.3" footer="0.3"/>
  <pageSetup orientation="portrait" horizontalDpi="300" verticalDpi="0" copies="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6"/>
  <sheetViews>
    <sheetView tabSelected="1" topLeftCell="A16" workbookViewId="0">
      <selection activeCell="B44" sqref="B44"/>
    </sheetView>
  </sheetViews>
  <sheetFormatPr defaultRowHeight="15" x14ac:dyDescent="0.25"/>
  <cols>
    <col min="1" max="1" width="24.28515625" customWidth="1"/>
    <col min="2" max="3" width="18.140625" customWidth="1"/>
    <col min="4" max="4" width="34.28515625" customWidth="1"/>
    <col min="5" max="5" width="39.28515625" bestFit="1" customWidth="1"/>
    <col min="6" max="6" width="42.140625" bestFit="1" customWidth="1"/>
  </cols>
  <sheetData>
    <row r="1" spans="1:5" x14ac:dyDescent="0.25">
      <c r="A1" t="s">
        <v>161</v>
      </c>
    </row>
    <row r="3" spans="1:5" x14ac:dyDescent="0.25">
      <c r="A3" t="s">
        <v>23</v>
      </c>
      <c r="B3" t="s">
        <v>6</v>
      </c>
    </row>
    <row r="4" spans="1:5" ht="60" x14ac:dyDescent="0.25">
      <c r="A4" s="3" t="s">
        <v>21</v>
      </c>
      <c r="B4">
        <v>2</v>
      </c>
    </row>
    <row r="5" spans="1:5" ht="60" x14ac:dyDescent="0.25">
      <c r="A5" s="3" t="s">
        <v>22</v>
      </c>
      <c r="B5">
        <v>3</v>
      </c>
    </row>
    <row r="6" spans="1:5" ht="180" x14ac:dyDescent="0.25">
      <c r="A6" s="3" t="s">
        <v>31</v>
      </c>
      <c r="B6">
        <v>6</v>
      </c>
    </row>
    <row r="8" spans="1:5" x14ac:dyDescent="0.25">
      <c r="A8" s="2" t="s">
        <v>24</v>
      </c>
    </row>
    <row r="9" spans="1:5" x14ac:dyDescent="0.25">
      <c r="A9" t="s">
        <v>25</v>
      </c>
      <c r="B9" t="s">
        <v>28</v>
      </c>
      <c r="C9" t="s">
        <v>29</v>
      </c>
      <c r="D9" t="s">
        <v>30</v>
      </c>
      <c r="E9" t="s">
        <v>27</v>
      </c>
    </row>
    <row r="10" spans="1:5" x14ac:dyDescent="0.25">
      <c r="A10" t="s">
        <v>26</v>
      </c>
      <c r="B10" s="1">
        <v>80000</v>
      </c>
      <c r="C10" s="1">
        <v>89000</v>
      </c>
      <c r="D10" s="1">
        <v>84464</v>
      </c>
      <c r="E10" t="s">
        <v>347</v>
      </c>
    </row>
    <row r="11" spans="1:5" x14ac:dyDescent="0.25">
      <c r="A11" t="s">
        <v>26</v>
      </c>
      <c r="B11" s="1">
        <v>57000</v>
      </c>
      <c r="C11" s="1">
        <v>63000</v>
      </c>
      <c r="D11" s="1">
        <f>AVERAGE(Table14[[#This Row],[Low Salary]:[High Salary]])</f>
        <v>60000</v>
      </c>
      <c r="E11" t="s">
        <v>348</v>
      </c>
    </row>
    <row r="12" spans="1:5" x14ac:dyDescent="0.25">
      <c r="A12" t="s">
        <v>26</v>
      </c>
      <c r="B12" s="1">
        <v>63000</v>
      </c>
      <c r="C12" s="1">
        <v>68000</v>
      </c>
      <c r="D12" s="1">
        <f>AVERAGE(Table14[[#This Row],[Low Salary]:[High Salary]])</f>
        <v>65500</v>
      </c>
      <c r="E12" t="s">
        <v>349</v>
      </c>
    </row>
    <row r="13" spans="1:5" x14ac:dyDescent="0.25">
      <c r="A13" t="s">
        <v>26</v>
      </c>
      <c r="B13" s="1">
        <v>93000</v>
      </c>
      <c r="C13" s="1">
        <v>101000</v>
      </c>
      <c r="D13" s="1">
        <f>AVERAGE(Table14[[#This Row],[Low Salary]:[High Salary]])</f>
        <v>97000</v>
      </c>
      <c r="E13" t="s">
        <v>350</v>
      </c>
    </row>
    <row r="14" spans="1:5" x14ac:dyDescent="0.25">
      <c r="A14" t="s">
        <v>26</v>
      </c>
      <c r="B14" s="1">
        <v>72000</v>
      </c>
      <c r="C14" s="1">
        <v>78000</v>
      </c>
      <c r="D14" s="1">
        <f>AVERAGE(Table14[[#This Row],[Low Salary]:[High Salary]])</f>
        <v>75000</v>
      </c>
      <c r="E14" t="s">
        <v>351</v>
      </c>
    </row>
    <row r="15" spans="1:5" x14ac:dyDescent="0.25">
      <c r="A15" t="s">
        <v>26</v>
      </c>
      <c r="B15" s="1">
        <v>64000</v>
      </c>
      <c r="C15" s="1">
        <v>69000</v>
      </c>
      <c r="D15" s="1">
        <f>AVERAGE(Table14[[#This Row],[Low Salary]:[High Salary]])</f>
        <v>66500</v>
      </c>
      <c r="E15" t="s">
        <v>352</v>
      </c>
    </row>
    <row r="16" spans="1:5" x14ac:dyDescent="0.25">
      <c r="A16" t="s">
        <v>26</v>
      </c>
      <c r="B16" s="1">
        <v>76000</v>
      </c>
      <c r="C16" s="1">
        <v>82000</v>
      </c>
      <c r="D16" s="1">
        <f>AVERAGE(Table14[[#This Row],[Low Salary]:[High Salary]])</f>
        <v>79000</v>
      </c>
      <c r="E16" t="s">
        <v>353</v>
      </c>
    </row>
    <row r="17" spans="1:5" x14ac:dyDescent="0.25">
      <c r="A17" t="s">
        <v>26</v>
      </c>
      <c r="B17" s="1">
        <v>114000</v>
      </c>
      <c r="C17" s="1">
        <v>126000</v>
      </c>
      <c r="D17" s="1">
        <f>AVERAGE(Table14[[#This Row],[Low Salary]:[High Salary]])</f>
        <v>120000</v>
      </c>
      <c r="E17" t="s">
        <v>354</v>
      </c>
    </row>
    <row r="18" spans="1:5" x14ac:dyDescent="0.25">
      <c r="A18" t="s">
        <v>26</v>
      </c>
      <c r="B18" s="1">
        <v>53000</v>
      </c>
      <c r="C18" s="1">
        <v>58000</v>
      </c>
      <c r="D18" s="1">
        <f>AVERAGE(Table14[[#This Row],[Low Salary]:[High Salary]])</f>
        <v>55500</v>
      </c>
      <c r="E18" t="s">
        <v>355</v>
      </c>
    </row>
    <row r="19" spans="1:5" x14ac:dyDescent="0.25">
      <c r="A19" t="s">
        <v>26</v>
      </c>
      <c r="B19" s="1">
        <v>79000</v>
      </c>
      <c r="C19" s="1">
        <v>87000</v>
      </c>
      <c r="D19" s="1">
        <f>AVERAGE(Table14[[#This Row],[Low Salary]:[High Salary]])</f>
        <v>83000</v>
      </c>
      <c r="E19" t="s">
        <v>356</v>
      </c>
    </row>
    <row r="20" spans="1:5" x14ac:dyDescent="0.25">
      <c r="A20" t="s">
        <v>26</v>
      </c>
      <c r="B20" s="1">
        <v>89000</v>
      </c>
      <c r="C20" s="1">
        <v>98000</v>
      </c>
      <c r="D20" s="1">
        <f>AVERAGE(Table14[[#This Row],[Low Salary]:[High Salary]])</f>
        <v>93500</v>
      </c>
      <c r="E20" t="s">
        <v>357</v>
      </c>
    </row>
    <row r="21" spans="1:5" x14ac:dyDescent="0.25">
      <c r="A21" t="s">
        <v>26</v>
      </c>
      <c r="B21" s="1">
        <v>93000</v>
      </c>
      <c r="C21" s="1">
        <v>100000</v>
      </c>
      <c r="D21" s="1">
        <f>AVERAGE(Table14[[#This Row],[Low Salary]:[High Salary]])</f>
        <v>96500</v>
      </c>
      <c r="E21" t="s">
        <v>358</v>
      </c>
    </row>
    <row r="22" spans="1:5" x14ac:dyDescent="0.25">
      <c r="A22" t="s">
        <v>26</v>
      </c>
      <c r="B22" s="1">
        <v>60000</v>
      </c>
      <c r="C22" s="1">
        <v>65000</v>
      </c>
      <c r="D22" s="1">
        <f>AVERAGE(Table14[[#This Row],[Low Salary]:[High Salary]])</f>
        <v>62500</v>
      </c>
      <c r="E22" t="s">
        <v>359</v>
      </c>
    </row>
    <row r="23" spans="1:5" x14ac:dyDescent="0.25">
      <c r="A23" t="s">
        <v>26</v>
      </c>
      <c r="B23" s="1">
        <v>53000</v>
      </c>
      <c r="C23" s="1">
        <v>58000</v>
      </c>
      <c r="D23" s="1">
        <f>AVERAGE(Table14[[#This Row],[Low Salary]:[High Salary]])</f>
        <v>55500</v>
      </c>
      <c r="E23" t="s">
        <v>360</v>
      </c>
    </row>
    <row r="24" spans="1:5" x14ac:dyDescent="0.25">
      <c r="A24" t="s">
        <v>26</v>
      </c>
      <c r="B24" s="1">
        <v>86000</v>
      </c>
      <c r="C24" s="1">
        <v>93000</v>
      </c>
      <c r="D24" s="1">
        <f>AVERAGE(Table14[[#This Row],[Low Salary]:[High Salary]])</f>
        <v>89500</v>
      </c>
      <c r="E24" t="s">
        <v>361</v>
      </c>
    </row>
    <row r="25" spans="1:5" x14ac:dyDescent="0.25">
      <c r="A25" t="s">
        <v>26</v>
      </c>
      <c r="B25" s="1">
        <v>68000</v>
      </c>
      <c r="C25" s="1">
        <v>73000</v>
      </c>
      <c r="D25" s="1">
        <f>AVERAGE(Table14[[#This Row],[Low Salary]:[High Salary]])</f>
        <v>70500</v>
      </c>
      <c r="E25" t="s">
        <v>362</v>
      </c>
    </row>
    <row r="26" spans="1:5" x14ac:dyDescent="0.25">
      <c r="A26" t="s">
        <v>26</v>
      </c>
      <c r="B26" s="1">
        <v>106000</v>
      </c>
      <c r="C26" s="1">
        <v>116000</v>
      </c>
      <c r="D26" s="1">
        <f>AVERAGE(Table14[[#This Row],[Low Salary]:[High Salary]])</f>
        <v>111000</v>
      </c>
      <c r="E26" t="s">
        <v>363</v>
      </c>
    </row>
    <row r="27" spans="1:5" x14ac:dyDescent="0.25">
      <c r="A27" t="s">
        <v>26</v>
      </c>
      <c r="B27" s="1">
        <v>78000</v>
      </c>
      <c r="C27" s="1">
        <v>84000</v>
      </c>
      <c r="D27" s="1">
        <f>AVERAGE(Table14[[#This Row],[Low Salary]:[High Salary]])</f>
        <v>81000</v>
      </c>
      <c r="E27" t="s">
        <v>364</v>
      </c>
    </row>
    <row r="28" spans="1:5" x14ac:dyDescent="0.25">
      <c r="A28" t="s">
        <v>26</v>
      </c>
      <c r="B28" s="1">
        <v>73000</v>
      </c>
      <c r="C28" s="1">
        <v>78000</v>
      </c>
      <c r="D28" s="1">
        <f>AVERAGE(Table14[[#This Row],[Low Salary]:[High Salary]])</f>
        <v>75500</v>
      </c>
      <c r="E28" t="s">
        <v>365</v>
      </c>
    </row>
    <row r="29" spans="1:5" x14ac:dyDescent="0.25">
      <c r="A29" t="s">
        <v>26</v>
      </c>
      <c r="B29" s="1">
        <v>57000</v>
      </c>
      <c r="C29" s="1">
        <v>62000</v>
      </c>
      <c r="D29" s="1">
        <f>AVERAGE(Table14[[#This Row],[Low Salary]:[High Salary]])</f>
        <v>59500</v>
      </c>
      <c r="E29" t="s">
        <v>366</v>
      </c>
    </row>
    <row r="30" spans="1:5" x14ac:dyDescent="0.25">
      <c r="B30" s="1">
        <f>AVERAGE(Table14[Low Salary])</f>
        <v>75700</v>
      </c>
      <c r="C30" s="1">
        <f>AVERAGE(Table14[High Salary])</f>
        <v>82400</v>
      </c>
      <c r="D30" s="1">
        <f>AVERAGE(Table14[Average Salary])</f>
        <v>79048.2</v>
      </c>
    </row>
    <row r="32" spans="1:5" x14ac:dyDescent="0.25">
      <c r="A32" t="s">
        <v>84</v>
      </c>
    </row>
    <row r="34" spans="1:9" x14ac:dyDescent="0.25">
      <c r="A34" t="s">
        <v>85</v>
      </c>
      <c r="B34" t="s">
        <v>86</v>
      </c>
      <c r="C34" t="s">
        <v>30</v>
      </c>
      <c r="D34" t="s">
        <v>87</v>
      </c>
      <c r="E34" t="s">
        <v>101</v>
      </c>
      <c r="F34" t="s">
        <v>98</v>
      </c>
      <c r="I34" s="2" t="s">
        <v>100</v>
      </c>
    </row>
    <row r="35" spans="1:9" x14ac:dyDescent="0.25">
      <c r="A35" t="s">
        <v>65</v>
      </c>
      <c r="B35" s="13">
        <v>0.2</v>
      </c>
      <c r="C35" s="1">
        <f>SUM(Table14[[#Totals],[Average Salary]]*1.1)</f>
        <v>86953.02</v>
      </c>
      <c r="D35" s="1">
        <f>SUM(B35*C35)</f>
        <v>17390.604000000003</v>
      </c>
      <c r="E35" s="14">
        <f>SUM(I35/40)</f>
        <v>0.49519230769230765</v>
      </c>
      <c r="F35" s="1">
        <f>SUM(Table3[[#This Row],[Average Salary]]/40*Table3[[#This Row],[Implementation Effort Weeks]])</f>
        <v>1076.4616658653845</v>
      </c>
      <c r="I35" s="14">
        <f>'Professional Service Estimates'!K19</f>
        <v>19.807692307692307</v>
      </c>
    </row>
    <row r="36" spans="1:9" x14ac:dyDescent="0.25">
      <c r="A36" t="s">
        <v>13</v>
      </c>
      <c r="B36" s="13">
        <v>0.3</v>
      </c>
      <c r="C36" s="1">
        <f>SUM(Table14[[#Totals],[Average Salary]]*1.1)</f>
        <v>86953.02</v>
      </c>
      <c r="D36" s="1">
        <f>SUM(B36*C36)</f>
        <v>26085.905999999999</v>
      </c>
      <c r="E36" s="14">
        <f>SUM(I36/40)</f>
        <v>0.66153846153846152</v>
      </c>
      <c r="F36" s="1">
        <f>SUM(Table3[[#This Row],[Average Salary]]/40*Table3[[#This Row],[Implementation Effort Weeks]])</f>
        <v>1438.0691769230768</v>
      </c>
      <c r="I36" s="14">
        <f>'Professional Service Estimates'!K37</f>
        <v>26.46153846153846</v>
      </c>
    </row>
    <row r="37" spans="1:9" x14ac:dyDescent="0.25">
      <c r="A37" t="s">
        <v>14</v>
      </c>
      <c r="B37" s="13">
        <v>0.4</v>
      </c>
      <c r="C37" s="1">
        <f>SUM(Table14[[#Totals],[Average Salary]]*1.1)</f>
        <v>86953.02</v>
      </c>
      <c r="D37" s="1">
        <f>SUM(B37*C37)</f>
        <v>34781.208000000006</v>
      </c>
      <c r="E37" s="14">
        <f>SUM(I37/40)</f>
        <v>1.0760416666666666</v>
      </c>
      <c r="F37" s="1">
        <f>SUM(Table3[[#This Row],[Average Salary]]/40*Table3[[#This Row],[Implementation Effort Weeks]])</f>
        <v>2339.1268140624998</v>
      </c>
      <c r="I37" s="14">
        <f>'Professional Service Estimates'!K55</f>
        <v>43.041666666666664</v>
      </c>
    </row>
    <row r="38" spans="1:9" x14ac:dyDescent="0.25">
      <c r="A38" t="s">
        <v>15</v>
      </c>
      <c r="B38" s="13">
        <v>0.35</v>
      </c>
      <c r="C38" s="1">
        <f>SUM(Table14[[#Totals],[Average Salary]]*1.1)</f>
        <v>86953.02</v>
      </c>
      <c r="D38" s="1">
        <f>SUM(B38*C38)</f>
        <v>30433.557000000001</v>
      </c>
      <c r="E38" s="14">
        <f>SUM(I38/40)</f>
        <v>0.79519230769230764</v>
      </c>
      <c r="F38" s="1">
        <f>SUM(Table3[[#This Row],[Average Salary]]/40*Table3[[#This Row],[Implementation Effort Weeks]])</f>
        <v>1728.6093158653844</v>
      </c>
      <c r="I38" s="14">
        <f>'Professional Service Estimates'!K72</f>
        <v>31.807692307692307</v>
      </c>
    </row>
    <row r="39" spans="1:9" x14ac:dyDescent="0.25">
      <c r="A39" t="s">
        <v>16</v>
      </c>
      <c r="B39" s="13">
        <v>0.5</v>
      </c>
      <c r="C39" s="1">
        <f>SUM(Table14[[#Totals],[Average Salary]]*1.1)</f>
        <v>86953.02</v>
      </c>
      <c r="D39" s="1">
        <f>SUM(B39*C39)</f>
        <v>43476.51</v>
      </c>
      <c r="E39" s="14">
        <f>SUM(I39/40)</f>
        <v>1.3364583333333333</v>
      </c>
      <c r="F39" s="1">
        <f>SUM(Table3[[#This Row],[Average Salary]]/40*Table3[[#This Row],[Implementation Effort Weeks]])</f>
        <v>2905.2272046875</v>
      </c>
      <c r="I39" s="14">
        <f>'Professional Service Estimates'!K90</f>
        <v>53.458333333333336</v>
      </c>
    </row>
    <row r="41" spans="1:9" x14ac:dyDescent="0.25">
      <c r="B41" t="s">
        <v>88</v>
      </c>
    </row>
    <row r="42" spans="1:9" x14ac:dyDescent="0.25">
      <c r="B42" t="s">
        <v>89</v>
      </c>
    </row>
    <row r="44" spans="1:9" x14ac:dyDescent="0.25">
      <c r="B44" t="s">
        <v>92</v>
      </c>
    </row>
    <row r="46" spans="1:9" x14ac:dyDescent="0.25">
      <c r="B46" t="s">
        <v>96</v>
      </c>
    </row>
  </sheetData>
  <pageMargins left="0.7" right="0.7" top="0.75" bottom="0.75" header="0.3" footer="0.3"/>
  <drawing r:id="rId1"/>
  <legacyDrawing r:id="rId2"/>
  <tableParts count="3">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7" workbookViewId="0">
      <selection activeCell="C39" sqref="C39"/>
    </sheetView>
  </sheetViews>
  <sheetFormatPr defaultRowHeight="15" x14ac:dyDescent="0.25"/>
  <cols>
    <col min="1" max="1" width="18.85546875" bestFit="1" customWidth="1"/>
    <col min="2" max="2" width="10.85546875" customWidth="1"/>
    <col min="3" max="3" width="80.28515625" bestFit="1" customWidth="1"/>
  </cols>
  <sheetData>
    <row r="1" spans="1:3" x14ac:dyDescent="0.25">
      <c r="A1" t="s">
        <v>141</v>
      </c>
      <c r="C1" t="s">
        <v>161</v>
      </c>
    </row>
    <row r="3" spans="1:3" x14ac:dyDescent="0.25">
      <c r="A3" s="2" t="s">
        <v>155</v>
      </c>
    </row>
    <row r="4" spans="1:3" x14ac:dyDescent="0.25">
      <c r="A4" t="s">
        <v>150</v>
      </c>
      <c r="B4" t="s">
        <v>151</v>
      </c>
      <c r="C4" t="s">
        <v>152</v>
      </c>
    </row>
    <row r="5" spans="1:3" x14ac:dyDescent="0.25">
      <c r="A5" t="s">
        <v>143</v>
      </c>
      <c r="B5" t="s">
        <v>144</v>
      </c>
      <c r="C5" t="s">
        <v>145</v>
      </c>
    </row>
    <row r="6" spans="1:3" x14ac:dyDescent="0.25">
      <c r="A6" t="s">
        <v>148</v>
      </c>
      <c r="B6" t="s">
        <v>146</v>
      </c>
      <c r="C6" t="s">
        <v>145</v>
      </c>
    </row>
    <row r="7" spans="1:3" x14ac:dyDescent="0.25">
      <c r="A7" t="s">
        <v>149</v>
      </c>
      <c r="B7" t="s">
        <v>147</v>
      </c>
      <c r="C7" t="s">
        <v>145</v>
      </c>
    </row>
    <row r="8" spans="1:3" ht="14.25" customHeight="1" x14ac:dyDescent="0.25">
      <c r="A8" t="s">
        <v>153</v>
      </c>
      <c r="B8" t="s">
        <v>154</v>
      </c>
      <c r="C8" t="s">
        <v>145</v>
      </c>
    </row>
    <row r="9" spans="1:3" ht="14.25" customHeight="1" x14ac:dyDescent="0.25">
      <c r="A9" t="s">
        <v>157</v>
      </c>
      <c r="B9" t="s">
        <v>154</v>
      </c>
      <c r="C9" t="s">
        <v>145</v>
      </c>
    </row>
    <row r="11" spans="1:3" x14ac:dyDescent="0.25">
      <c r="A11" s="2" t="s">
        <v>156</v>
      </c>
    </row>
    <row r="12" spans="1:3" x14ac:dyDescent="0.25">
      <c r="A12" t="s">
        <v>150</v>
      </c>
      <c r="B12" t="s">
        <v>151</v>
      </c>
      <c r="C12" t="s">
        <v>152</v>
      </c>
    </row>
    <row r="13" spans="1:3" x14ac:dyDescent="0.25">
      <c r="A13" t="s">
        <v>143</v>
      </c>
      <c r="B13" t="s">
        <v>144</v>
      </c>
      <c r="C13" t="s">
        <v>145</v>
      </c>
    </row>
    <row r="14" spans="1:3" x14ac:dyDescent="0.25">
      <c r="A14" t="s">
        <v>148</v>
      </c>
      <c r="B14" t="s">
        <v>146</v>
      </c>
      <c r="C14" t="s">
        <v>145</v>
      </c>
    </row>
    <row r="15" spans="1:3" x14ac:dyDescent="0.25">
      <c r="A15" t="s">
        <v>149</v>
      </c>
      <c r="B15" t="s">
        <v>147</v>
      </c>
      <c r="C15" t="s">
        <v>145</v>
      </c>
    </row>
    <row r="16" spans="1:3" x14ac:dyDescent="0.25">
      <c r="A16" t="s">
        <v>153</v>
      </c>
      <c r="B16" t="s">
        <v>154</v>
      </c>
      <c r="C16" t="s">
        <v>145</v>
      </c>
    </row>
    <row r="17" spans="1:5" x14ac:dyDescent="0.25">
      <c r="A17" t="s">
        <v>157</v>
      </c>
    </row>
    <row r="21" spans="1:5" x14ac:dyDescent="0.25">
      <c r="A21" t="s">
        <v>158</v>
      </c>
    </row>
    <row r="22" spans="1:5" x14ac:dyDescent="0.25">
      <c r="A22" s="2" t="s">
        <v>159</v>
      </c>
      <c r="B22" t="s">
        <v>189</v>
      </c>
    </row>
    <row r="23" spans="1:5" x14ac:dyDescent="0.25">
      <c r="A23" t="s">
        <v>190</v>
      </c>
      <c r="B23" t="s">
        <v>191</v>
      </c>
      <c r="C23" t="s">
        <v>192</v>
      </c>
      <c r="E23" t="s">
        <v>197</v>
      </c>
    </row>
    <row r="24" spans="1:5" x14ac:dyDescent="0.25">
      <c r="A24" t="s">
        <v>194</v>
      </c>
      <c r="B24" s="1">
        <v>3347.3</v>
      </c>
      <c r="E24" s="1">
        <f>AVERAGE(Table26[Price])</f>
        <v>3249.1</v>
      </c>
    </row>
    <row r="25" spans="1:5" x14ac:dyDescent="0.25">
      <c r="A25" t="s">
        <v>193</v>
      </c>
      <c r="B25" s="1">
        <f>SUM(1905+272)</f>
        <v>2177</v>
      </c>
      <c r="C25" t="s">
        <v>188</v>
      </c>
    </row>
    <row r="26" spans="1:5" x14ac:dyDescent="0.25">
      <c r="A26" t="s">
        <v>205</v>
      </c>
      <c r="B26" s="1">
        <v>4223</v>
      </c>
    </row>
    <row r="27" spans="1:5" x14ac:dyDescent="0.25">
      <c r="B27" s="1"/>
    </row>
    <row r="28" spans="1:5" x14ac:dyDescent="0.25">
      <c r="B28" s="1"/>
    </row>
    <row r="29" spans="1:5" x14ac:dyDescent="0.25">
      <c r="B29" s="1"/>
    </row>
    <row r="31" spans="1:5" x14ac:dyDescent="0.25">
      <c r="A31" s="2" t="s">
        <v>156</v>
      </c>
      <c r="B31" t="s">
        <v>189</v>
      </c>
    </row>
    <row r="32" spans="1:5" x14ac:dyDescent="0.25">
      <c r="A32" t="s">
        <v>190</v>
      </c>
      <c r="B32" t="s">
        <v>191</v>
      </c>
      <c r="C32" t="s">
        <v>192</v>
      </c>
      <c r="E32" t="s">
        <v>196</v>
      </c>
    </row>
    <row r="33" spans="1:5" x14ac:dyDescent="0.25">
      <c r="A33" t="s">
        <v>194</v>
      </c>
      <c r="B33" s="1">
        <v>3347.3</v>
      </c>
      <c r="E33" s="1">
        <f>AVERAGE(Table27[Price])</f>
        <v>3215.7666666666664</v>
      </c>
    </row>
    <row r="34" spans="1:5" x14ac:dyDescent="0.25">
      <c r="A34" t="s">
        <v>193</v>
      </c>
      <c r="B34" s="1">
        <f>SUM(1905+272)</f>
        <v>2177</v>
      </c>
      <c r="C34" t="s">
        <v>188</v>
      </c>
    </row>
    <row r="35" spans="1:5" x14ac:dyDescent="0.25">
      <c r="A35" t="s">
        <v>205</v>
      </c>
      <c r="B35" s="1">
        <v>4123</v>
      </c>
    </row>
    <row r="36" spans="1:5" x14ac:dyDescent="0.25">
      <c r="B36" s="1"/>
    </row>
    <row r="37" spans="1:5" x14ac:dyDescent="0.25">
      <c r="B37" s="1"/>
    </row>
    <row r="38" spans="1:5" x14ac:dyDescent="0.25">
      <c r="B38" s="1"/>
    </row>
    <row r="41" spans="1:5" x14ac:dyDescent="0.25">
      <c r="A41" t="s">
        <v>243</v>
      </c>
    </row>
  </sheetData>
  <pageMargins left="0.7" right="0.7" top="0.75" bottom="0.75" header="0.3" footer="0.3"/>
  <pageSetup orientation="portrait" horizontalDpi="300" verticalDpi="0" copies="0" r:id="rId1"/>
  <tableParts count="4">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B8" sqref="B8:B13"/>
    </sheetView>
  </sheetViews>
  <sheetFormatPr defaultRowHeight="15" x14ac:dyDescent="0.25"/>
  <cols>
    <col min="1" max="1" width="24.28515625" bestFit="1" customWidth="1"/>
    <col min="2" max="2" width="9.42578125" customWidth="1"/>
    <col min="4" max="4" width="10.140625" bestFit="1" customWidth="1"/>
  </cols>
  <sheetData>
    <row r="1" spans="1:8" x14ac:dyDescent="0.25">
      <c r="A1" s="2" t="s">
        <v>142</v>
      </c>
      <c r="D1" t="s">
        <v>161</v>
      </c>
      <c r="H1" s="2" t="s">
        <v>162</v>
      </c>
    </row>
    <row r="2" spans="1:8" x14ac:dyDescent="0.25">
      <c r="H2" t="s">
        <v>163</v>
      </c>
    </row>
    <row r="6" spans="1:8" x14ac:dyDescent="0.25">
      <c r="A6" s="2" t="s">
        <v>164</v>
      </c>
      <c r="B6" t="s">
        <v>175</v>
      </c>
    </row>
    <row r="7" spans="1:8" ht="15.75" x14ac:dyDescent="0.25">
      <c r="A7" s="36" t="s">
        <v>173</v>
      </c>
      <c r="B7" t="s">
        <v>172</v>
      </c>
      <c r="C7" t="s">
        <v>171</v>
      </c>
      <c r="D7" t="s">
        <v>170</v>
      </c>
    </row>
    <row r="8" spans="1:8" x14ac:dyDescent="0.25">
      <c r="A8" t="s">
        <v>160</v>
      </c>
      <c r="B8" s="1">
        <v>4926</v>
      </c>
      <c r="C8" s="1">
        <v>2463</v>
      </c>
      <c r="D8" s="1">
        <v>7389</v>
      </c>
    </row>
    <row r="9" spans="1:8" x14ac:dyDescent="0.25">
      <c r="A9" t="s">
        <v>176</v>
      </c>
      <c r="B9" s="1">
        <v>726</v>
      </c>
      <c r="C9" s="1">
        <v>363</v>
      </c>
      <c r="D9" s="1">
        <v>1088</v>
      </c>
    </row>
    <row r="10" spans="1:8" x14ac:dyDescent="0.25">
      <c r="A10" t="s">
        <v>177</v>
      </c>
      <c r="B10" s="1">
        <v>7171</v>
      </c>
      <c r="C10" s="1">
        <v>3586</v>
      </c>
      <c r="D10" s="1">
        <v>10756</v>
      </c>
    </row>
    <row r="11" spans="1:8" x14ac:dyDescent="0.25">
      <c r="A11" t="s">
        <v>166</v>
      </c>
      <c r="B11" s="1">
        <v>95</v>
      </c>
      <c r="C11" s="1">
        <v>48</v>
      </c>
      <c r="D11" s="1">
        <v>142</v>
      </c>
    </row>
    <row r="12" spans="1:8" x14ac:dyDescent="0.25">
      <c r="A12" t="s">
        <v>167</v>
      </c>
      <c r="B12" s="1">
        <v>83</v>
      </c>
      <c r="C12" s="1">
        <v>42</v>
      </c>
      <c r="D12" s="1">
        <v>125</v>
      </c>
    </row>
    <row r="13" spans="1:8" x14ac:dyDescent="0.25">
      <c r="A13" s="2" t="s">
        <v>214</v>
      </c>
      <c r="B13" s="55">
        <f>SUM(B11:B12)</f>
        <v>178</v>
      </c>
      <c r="C13" s="55">
        <f>SUM(C11:C12)</f>
        <v>90</v>
      </c>
      <c r="D13" s="55">
        <f>SUM(D11:D12)</f>
        <v>267</v>
      </c>
    </row>
    <row r="15" spans="1:8" x14ac:dyDescent="0.25">
      <c r="A15" s="2" t="s">
        <v>165</v>
      </c>
    </row>
    <row r="16" spans="1:8" ht="15.75" x14ac:dyDescent="0.25">
      <c r="A16" s="36" t="s">
        <v>173</v>
      </c>
      <c r="B16" t="s">
        <v>172</v>
      </c>
      <c r="C16" t="s">
        <v>171</v>
      </c>
      <c r="D16" t="s">
        <v>170</v>
      </c>
      <c r="F16" t="s">
        <v>174</v>
      </c>
    </row>
    <row r="17" spans="1:4" x14ac:dyDescent="0.25">
      <c r="A17" t="s">
        <v>160</v>
      </c>
      <c r="B17" s="1">
        <v>3927</v>
      </c>
      <c r="C17" s="1">
        <v>1964</v>
      </c>
      <c r="D17" s="1">
        <v>5890</v>
      </c>
    </row>
    <row r="18" spans="1:4" x14ac:dyDescent="0.25">
      <c r="A18" t="s">
        <v>176</v>
      </c>
      <c r="B18" s="1">
        <v>579</v>
      </c>
      <c r="C18" s="1">
        <v>290</v>
      </c>
      <c r="D18" s="1">
        <v>868</v>
      </c>
    </row>
    <row r="19" spans="1:4" x14ac:dyDescent="0.25">
      <c r="A19" t="s">
        <v>177</v>
      </c>
      <c r="B19" s="1">
        <v>5716</v>
      </c>
      <c r="C19" s="1">
        <v>2858</v>
      </c>
      <c r="D19" s="1"/>
    </row>
    <row r="20" spans="1:4" x14ac:dyDescent="0.25">
      <c r="A20" t="s">
        <v>166</v>
      </c>
      <c r="B20" s="1"/>
      <c r="C20" s="1"/>
      <c r="D20" s="1"/>
    </row>
    <row r="21" spans="1:4" x14ac:dyDescent="0.25">
      <c r="A21" t="s">
        <v>167</v>
      </c>
      <c r="B21" s="1"/>
      <c r="C21" s="1"/>
      <c r="D21" s="1"/>
    </row>
    <row r="23" spans="1:4" x14ac:dyDescent="0.25">
      <c r="A23" s="2" t="s">
        <v>168</v>
      </c>
    </row>
    <row r="24" spans="1:4" ht="15.75" x14ac:dyDescent="0.25">
      <c r="A24" s="36" t="s">
        <v>173</v>
      </c>
      <c r="B24" t="s">
        <v>172</v>
      </c>
      <c r="C24" t="s">
        <v>171</v>
      </c>
      <c r="D24" t="s">
        <v>170</v>
      </c>
    </row>
    <row r="25" spans="1:4" x14ac:dyDescent="0.25">
      <c r="A25" t="s">
        <v>160</v>
      </c>
      <c r="B25" s="1"/>
      <c r="C25" s="1"/>
      <c r="D25" s="1"/>
    </row>
    <row r="26" spans="1:4" x14ac:dyDescent="0.25">
      <c r="A26" t="s">
        <v>176</v>
      </c>
      <c r="B26" s="1"/>
      <c r="C26" s="1"/>
      <c r="D26" s="1"/>
    </row>
    <row r="27" spans="1:4" x14ac:dyDescent="0.25">
      <c r="A27" t="s">
        <v>177</v>
      </c>
      <c r="B27" s="1"/>
      <c r="C27" s="1"/>
      <c r="D27" s="1"/>
    </row>
    <row r="28" spans="1:4" x14ac:dyDescent="0.25">
      <c r="A28" t="s">
        <v>166</v>
      </c>
      <c r="B28" s="1"/>
      <c r="C28" s="1"/>
      <c r="D28" s="1"/>
    </row>
    <row r="29" spans="1:4" x14ac:dyDescent="0.25">
      <c r="A29" t="s">
        <v>167</v>
      </c>
      <c r="B29" s="1"/>
      <c r="C29" s="1"/>
      <c r="D29" s="1"/>
    </row>
    <row r="31" spans="1:4" x14ac:dyDescent="0.25">
      <c r="A31" s="2" t="s">
        <v>169</v>
      </c>
    </row>
    <row r="32" spans="1:4" ht="15.75" x14ac:dyDescent="0.25">
      <c r="A32" s="36" t="s">
        <v>173</v>
      </c>
      <c r="B32" t="s">
        <v>172</v>
      </c>
      <c r="C32" t="s">
        <v>171</v>
      </c>
      <c r="D32" t="s">
        <v>170</v>
      </c>
    </row>
    <row r="33" spans="1:4" x14ac:dyDescent="0.25">
      <c r="A33" t="s">
        <v>160</v>
      </c>
      <c r="B33" s="1"/>
      <c r="C33" s="1"/>
      <c r="D33" s="1"/>
    </row>
    <row r="34" spans="1:4" x14ac:dyDescent="0.25">
      <c r="A34" t="s">
        <v>176</v>
      </c>
      <c r="B34" s="1"/>
      <c r="C34" s="1"/>
      <c r="D34" s="1"/>
    </row>
    <row r="35" spans="1:4" x14ac:dyDescent="0.25">
      <c r="A35" t="s">
        <v>177</v>
      </c>
      <c r="B35" s="1"/>
      <c r="C35" s="1"/>
      <c r="D35" s="1"/>
    </row>
    <row r="36" spans="1:4" x14ac:dyDescent="0.25">
      <c r="A36" t="s">
        <v>166</v>
      </c>
      <c r="B36" s="1"/>
      <c r="C36" s="1"/>
      <c r="D36" s="1"/>
    </row>
    <row r="37" spans="1:4" x14ac:dyDescent="0.25">
      <c r="A37" t="s">
        <v>167</v>
      </c>
      <c r="B37" s="1"/>
      <c r="C37" s="1"/>
      <c r="D37" s="1"/>
    </row>
  </sheetData>
  <pageMargins left="0.7" right="0.7" top="0.75" bottom="0.75" header="0.3" footer="0.3"/>
  <pageSetup orientation="portrait" horizontalDpi="300" verticalDpi="0" copies="0" r:id="rId1"/>
  <tableParts count="4">
    <tablePart r:id="rId2"/>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A23" sqref="A23"/>
    </sheetView>
  </sheetViews>
  <sheetFormatPr defaultRowHeight="15" x14ac:dyDescent="0.25"/>
  <cols>
    <col min="1" max="1" width="23.7109375" customWidth="1"/>
    <col min="2" max="2" width="32.140625" customWidth="1"/>
    <col min="3" max="3" width="17.42578125" customWidth="1"/>
    <col min="4" max="4" width="12.140625" customWidth="1"/>
  </cols>
  <sheetData>
    <row r="1" spans="1:4" x14ac:dyDescent="0.25">
      <c r="A1" t="s">
        <v>217</v>
      </c>
    </row>
    <row r="2" spans="1:4" x14ac:dyDescent="0.25">
      <c r="A2" t="s">
        <v>218</v>
      </c>
      <c r="B2" t="s">
        <v>219</v>
      </c>
      <c r="C2" t="s">
        <v>220</v>
      </c>
      <c r="D2" t="s">
        <v>221</v>
      </c>
    </row>
    <row r="3" spans="1:4" x14ac:dyDescent="0.25">
      <c r="A3" t="s">
        <v>222</v>
      </c>
      <c r="B3" s="47">
        <v>10</v>
      </c>
      <c r="C3" s="47">
        <v>8</v>
      </c>
      <c r="D3" s="48">
        <f>SUM((Table28[[#This Row],[Previous Cost (Before Early 2012)]]-Table28[[#This Row],[New Cost (2012)]])/Table28[[#This Row],[Previous Cost (Before Early 2012)]])</f>
        <v>0.2</v>
      </c>
    </row>
    <row r="4" spans="1:4" x14ac:dyDescent="0.25">
      <c r="A4" t="s">
        <v>223</v>
      </c>
      <c r="B4" s="47">
        <v>10</v>
      </c>
      <c r="C4" s="47">
        <v>8</v>
      </c>
      <c r="D4" s="48">
        <f>SUM((Table28[[#This Row],[Previous Cost (Before Early 2012)]]-Table28[[#This Row],[New Cost (2012)]])/Table28[[#This Row],[Previous Cost (Before Early 2012)]])</f>
        <v>0.2</v>
      </c>
    </row>
    <row r="5" spans="1:4" x14ac:dyDescent="0.25">
      <c r="A5" t="s">
        <v>224</v>
      </c>
      <c r="B5" s="47">
        <v>16</v>
      </c>
      <c r="C5" s="47">
        <v>14</v>
      </c>
      <c r="D5" s="48">
        <f>SUM((Table28[[#This Row],[Previous Cost (Before Early 2012)]]-Table28[[#This Row],[New Cost (2012)]])/Table28[[#This Row],[Previous Cost (Before Early 2012)]])</f>
        <v>0.125</v>
      </c>
    </row>
    <row r="6" spans="1:4" x14ac:dyDescent="0.25">
      <c r="A6" t="s">
        <v>225</v>
      </c>
      <c r="B6" s="47">
        <v>24</v>
      </c>
      <c r="C6" s="47">
        <v>20</v>
      </c>
      <c r="D6" s="48">
        <f>SUM((Table28[[#This Row],[Previous Cost (Before Early 2012)]]-Table28[[#This Row],[New Cost (2012)]])/Table28[[#This Row],[Previous Cost (Before Early 2012)]])</f>
        <v>0.16666666666666666</v>
      </c>
    </row>
    <row r="7" spans="1:4" x14ac:dyDescent="0.25">
      <c r="A7" t="s">
        <v>226</v>
      </c>
      <c r="B7" s="47">
        <v>27</v>
      </c>
      <c r="C7" s="47">
        <v>22</v>
      </c>
      <c r="D7" s="48">
        <f>SUM((Table28[[#This Row],[Previous Cost (Before Early 2012)]]-Table28[[#This Row],[New Cost (2012)]])/Table28[[#This Row],[Previous Cost (Before Early 2012)]])</f>
        <v>0.18518518518518517</v>
      </c>
    </row>
    <row r="8" spans="1:4" x14ac:dyDescent="0.25">
      <c r="A8" t="s">
        <v>227</v>
      </c>
      <c r="B8" s="47">
        <v>5</v>
      </c>
      <c r="C8" s="47">
        <v>4</v>
      </c>
      <c r="D8" s="48">
        <f>SUM((Table28[[#This Row],[Previous Cost (Before Early 2012)]]-Table28[[#This Row],[New Cost (2012)]])/Table28[[#This Row],[Previous Cost (Before Early 2012)]])</f>
        <v>0.2</v>
      </c>
    </row>
    <row r="9" spans="1:4" x14ac:dyDescent="0.25">
      <c r="A9" t="s">
        <v>228</v>
      </c>
      <c r="B9" s="47">
        <v>10</v>
      </c>
      <c r="C9" s="47">
        <v>8</v>
      </c>
      <c r="D9" s="48">
        <f>SUM((Table28[[#This Row],[Previous Cost (Before Early 2012)]]-Table28[[#This Row],[New Cost (2012)]])/Table28[[#This Row],[Previous Cost (Before Early 2012)]])</f>
        <v>0.2</v>
      </c>
    </row>
    <row r="10" spans="1:4" x14ac:dyDescent="0.25">
      <c r="A10" t="s">
        <v>229</v>
      </c>
      <c r="B10" s="47">
        <v>5.25</v>
      </c>
      <c r="C10" s="47">
        <v>4</v>
      </c>
      <c r="D10" s="48">
        <f>SUM((Table28[[#This Row],[Previous Cost (Before Early 2012)]]-Table28[[#This Row],[New Cost (2012)]])/Table28[[#This Row],[Previous Cost (Before Early 2012)]])</f>
        <v>0.23809523809523808</v>
      </c>
    </row>
    <row r="11" spans="1:4" x14ac:dyDescent="0.25">
      <c r="A11" t="s">
        <v>230</v>
      </c>
      <c r="B11" s="47">
        <v>10.25</v>
      </c>
      <c r="C11" s="47">
        <v>8</v>
      </c>
      <c r="D11" s="48">
        <f>SUM((Table28[[#This Row],[Previous Cost (Before Early 2012)]]-Table28[[#This Row],[New Cost (2012)]])/Table28[[#This Row],[Previous Cost (Before Early 2012)]])</f>
        <v>0.21951219512195122</v>
      </c>
    </row>
    <row r="12" spans="1:4" x14ac:dyDescent="0.25">
      <c r="A12" t="s">
        <v>231</v>
      </c>
      <c r="B12" s="47">
        <v>6.5</v>
      </c>
      <c r="C12" s="47">
        <v>5.5</v>
      </c>
      <c r="D12" s="48">
        <f>SUM((Table28[[#This Row],[Previous Cost (Before Early 2012)]]-Table28[[#This Row],[New Cost (2012)]])/Table28[[#This Row],[Previous Cost (Before Early 2012)]])</f>
        <v>0.15384615384615385</v>
      </c>
    </row>
    <row r="13" spans="1:4" x14ac:dyDescent="0.25">
      <c r="A13" t="s">
        <v>232</v>
      </c>
      <c r="B13" s="47">
        <v>11.25</v>
      </c>
      <c r="C13" s="47">
        <v>10</v>
      </c>
      <c r="D13" s="48">
        <f>SUM((Table28[[#This Row],[Previous Cost (Before Early 2012)]]-Table28[[#This Row],[New Cost (2012)]])/Table28[[#This Row],[Previous Cost (Before Early 2012)]])</f>
        <v>0.1111111111111111</v>
      </c>
    </row>
    <row r="14" spans="1:4" x14ac:dyDescent="0.25">
      <c r="A14" t="s">
        <v>233</v>
      </c>
      <c r="B14" s="47">
        <v>16.25</v>
      </c>
      <c r="C14" s="47">
        <v>14</v>
      </c>
      <c r="D14" s="48">
        <f>SUM((Table28[[#This Row],[Previous Cost (Before Early 2012)]]-Table28[[#This Row],[New Cost (2012)]])/Table28[[#This Row],[Previous Cost (Before Early 2012)]])</f>
        <v>0.13846153846153847</v>
      </c>
    </row>
    <row r="15" spans="1:4" x14ac:dyDescent="0.25">
      <c r="A15" t="s">
        <v>234</v>
      </c>
      <c r="B15" s="47">
        <v>2.5</v>
      </c>
      <c r="C15" s="47">
        <v>0.2</v>
      </c>
      <c r="D15" s="48">
        <f>SUM((Table28[[#This Row],[Previous Cost (Before Early 2012)]]-Table28[[#This Row],[New Cost (2012)]])/Table28[[#This Row],[Previous Cost (Before Early 2012)]])</f>
        <v>0.91999999999999993</v>
      </c>
    </row>
    <row r="16" spans="1:4" x14ac:dyDescent="0.25">
      <c r="A16" t="s">
        <v>235</v>
      </c>
      <c r="B16" s="47">
        <v>3.5</v>
      </c>
      <c r="C16" s="47">
        <v>3</v>
      </c>
      <c r="D16" s="48">
        <f>SUM((Table28[[#This Row],[Previous Cost (Before Early 2012)]]-Table28[[#This Row],[New Cost (2012)]])/Table28[[#This Row],[Previous Cost (Before Early 2012)]])</f>
        <v>0.14285714285714285</v>
      </c>
    </row>
    <row r="17" spans="1:4" x14ac:dyDescent="0.25">
      <c r="C17" s="47"/>
      <c r="D17" s="48"/>
    </row>
    <row r="20" spans="1:4" x14ac:dyDescent="0.25">
      <c r="A20" t="s">
        <v>236</v>
      </c>
    </row>
    <row r="21" spans="1:4" x14ac:dyDescent="0.25">
      <c r="A21" t="s">
        <v>237</v>
      </c>
    </row>
    <row r="22" spans="1:4" x14ac:dyDescent="0.25">
      <c r="A22" t="s">
        <v>238</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sheetViews>
  <sheetFormatPr defaultRowHeight="15" x14ac:dyDescent="0.25"/>
  <cols>
    <col min="1" max="1" width="54.28515625" customWidth="1"/>
  </cols>
  <sheetData>
    <row r="2" spans="1:1" x14ac:dyDescent="0.25">
      <c r="A2" t="s">
        <v>37</v>
      </c>
    </row>
    <row r="3" spans="1:1" x14ac:dyDescent="0.25">
      <c r="A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Professional Service Estimates</vt:lpstr>
      <vt:lpstr>Apptix</vt:lpstr>
      <vt:lpstr>FPWeb</vt:lpstr>
      <vt:lpstr>Rackspace</vt:lpstr>
      <vt:lpstr>Internal Salaries</vt:lpstr>
      <vt:lpstr>Hardware Costs</vt:lpstr>
      <vt:lpstr>MS Licensing</vt:lpstr>
      <vt:lpstr>Office365</vt:lpstr>
      <vt:lpstr>Common Issues</vt:lpstr>
      <vt:lpstr>Graphs</vt:lpstr>
      <vt:lpstr>Consideration Priorities</vt:lpstr>
      <vt:lpstr>Notes</vt:lpstr>
    </vt:vector>
  </TitlesOfParts>
  <Company>Allin Consulting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Harbridge</dc:creator>
  <cp:lastModifiedBy>Richard Harbridge</cp:lastModifiedBy>
  <dcterms:created xsi:type="dcterms:W3CDTF">2012-02-12T00:45:41Z</dcterms:created>
  <dcterms:modified xsi:type="dcterms:W3CDTF">2012-09-15T00:49:46Z</dcterms:modified>
</cp:coreProperties>
</file>